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metadata.xml" ContentType="application/vnd.openxmlformats-officedocument.spreadsheetml.sheetMetadata+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ctrlProps/ctrlProp1.xml" ContentType="application/vnd.ms-excel.contro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24.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customXml/itemProps5.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luziajo\Downloads\"/>
    </mc:Choice>
  </mc:AlternateContent>
  <xr:revisionPtr revIDLastSave="0" documentId="13_ncr:1_{9CB581F3-6224-413F-9F2C-83EE7DF62A9E}" xr6:coauthVersionLast="47" xr6:coauthVersionMax="47" xr10:uidLastSave="{00000000-0000-0000-0000-000000000000}"/>
  <workbookProtection workbookAlgorithmName="SHA-512" workbookHashValue="yneBvp2L0HjBjapFRsiEYL7RsLvQVajGbgXvRCl3azBSjzXWDCdqXbrjiGWhCjuiwUSeOr/Tgh/NkxhhF+lPBQ==" workbookSaltValue="ZPBuzY8D1MLwJkRxteUjpg==" workbookSpinCount="100000" lockStructure="1"/>
  <bookViews>
    <workbookView xWindow="-28920" yWindow="-75" windowWidth="29040" windowHeight="15840" xr2:uid="{00000000-000D-0000-FFFF-FFFF00000000}"/>
  </bookViews>
  <sheets>
    <sheet name="Temporary Staff" sheetId="20" r:id="rId1"/>
    <sheet name="TA Tax" sheetId="13" state="hidden" r:id="rId2"/>
    <sheet name="Contract Staff" sheetId="23" r:id="rId3"/>
    <sheet name="CA Tax" sheetId="18" state="hidden" r:id="rId4"/>
    <sheet name="Staff Regulations Text" sheetId="19" state="hidden" r:id="rId5"/>
    <sheet name="Salary and Allowances" sheetId="15" state="hidden" r:id="rId6"/>
  </sheets>
  <definedNames>
    <definedName name="_xlnm._FilterDatabase" localSheetId="2" hidden="1">'Contract Staff'!$A$11:$D$11</definedName>
    <definedName name="_xlnm._FilterDatabase" localSheetId="5" hidden="1">'Salary and Allowances'!$B$4:$E$4</definedName>
    <definedName name="_xlnm._FilterDatabase" localSheetId="0" hidden="1">'Temporary Staff'!$A$11:$D$11</definedName>
    <definedName name="CA_Grade_Order">T_TA_salaries[[Row]:[Function Group]]</definedName>
    <definedName name="CA_SalaryGrade">'Salary and Allowances'!$T$4:$T$21</definedName>
    <definedName name="CA_SalaryGrade_Order">'Salary and Allowances'!$R$4:$T$21</definedName>
    <definedName name="CA_Steps">'Salary and Allowances'!$S$25:$S$31</definedName>
    <definedName name="CA_Steps_Order">'Salary and Allowances'!$R$25:$S$31</definedName>
    <definedName name="Country">'Salary and Allowances'!$O$4:$O$33</definedName>
    <definedName name="Country_Order">'Salary and Allowances'!$N$4:$P$33</definedName>
    <definedName name="DependChild">'Salary and Allowances'!$L$4:$L$11</definedName>
    <definedName name="DependChild_Order">'Salary and Allowances'!$K$4:$L$11</definedName>
    <definedName name="_xlnm.Print_Area" localSheetId="2">'Contract Staff'!$B$2:$AO$48</definedName>
    <definedName name="_xlnm.Print_Area" localSheetId="0">'Temporary Staff'!$B$2:$AO$48</definedName>
    <definedName name="TA_Grade_Order" localSheetId="2">T_TA_salaries[[Row]:[Function Group]]</definedName>
    <definedName name="TA_Grade_Order" localSheetId="0">T_TA_salaries[[Row]:[Function Group]]</definedName>
    <definedName name="TA_Grade_Order">T_TA_salaries[[Row]:[Function Group]]</definedName>
    <definedName name="TA_Salary_Grade">'Salary and Allowances'!$I$4:$I$26</definedName>
    <definedName name="TA_Salary_Order">'Salary and Allowances'!$G$4:$I$26</definedName>
    <definedName name="TA_Steps">'Salary and Allowances'!$H$30:$H$34</definedName>
    <definedName name="TA_Steps_Order">'Salary and Allowances'!$G$30:$H$34</definedName>
    <definedName name="YorN">'Salary and Allowances'!$L$17:$L$18</definedName>
    <definedName name="YorN_Order">'Salary and Allowances'!$K$17:$L$18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5" i="18" l="1"/>
  <c r="AR11" i="23"/>
  <c r="AS10" i="23"/>
  <c r="AR10" i="23"/>
  <c r="R46" i="23"/>
  <c r="AH41" i="23" s="1"/>
  <c r="AR27" i="23"/>
  <c r="AR25" i="23"/>
  <c r="AR23" i="23"/>
  <c r="AK22" i="23"/>
  <c r="AR21" i="23"/>
  <c r="AR19" i="23"/>
  <c r="AR18" i="23"/>
  <c r="AR16" i="23"/>
  <c r="N40" i="23" s="1"/>
  <c r="R46" i="20"/>
  <c r="AH41" i="20" s="1"/>
  <c r="AK22" i="20"/>
  <c r="AR27" i="20"/>
  <c r="O16" i="20" s="1"/>
  <c r="AR25" i="20"/>
  <c r="AR23" i="20"/>
  <c r="AR21" i="20"/>
  <c r="AR19" i="20"/>
  <c r="AR18" i="20"/>
  <c r="AR16" i="20"/>
  <c r="N40" i="20" s="1"/>
  <c r="AR11" i="20"/>
  <c r="AR34" i="20" s="1"/>
  <c r="AS10" i="20"/>
  <c r="AQ34" i="20" s="1"/>
  <c r="AR10" i="20"/>
  <c r="R11" i="23" l="1" a="1"/>
  <c r="R11" i="23" s="1"/>
  <c r="AL37" i="23" s="1"/>
  <c r="R25" i="23"/>
  <c r="O16" i="23"/>
  <c r="R19" i="23"/>
  <c r="AR29" i="23"/>
  <c r="O15" i="23" s="1"/>
  <c r="R21" i="23"/>
  <c r="R27" i="23"/>
  <c r="R41" i="23"/>
  <c r="AL29" i="23" s="1"/>
  <c r="L9" i="18" s="1"/>
  <c r="R18" i="23"/>
  <c r="R23" i="23"/>
  <c r="M11" i="20"/>
  <c r="AH38" i="20"/>
  <c r="R25" i="13" s="1"/>
  <c r="R21" i="20"/>
  <c r="AR29" i="20"/>
  <c r="O15" i="20" s="1"/>
  <c r="R23" i="20"/>
  <c r="R18" i="20"/>
  <c r="R25" i="20"/>
  <c r="R11" i="20" a="1"/>
  <c r="R11" i="20" s="1"/>
  <c r="S41" i="20" s="1"/>
  <c r="R19" i="20"/>
  <c r="R27" i="20"/>
  <c r="R41" i="20"/>
  <c r="AL29" i="20" s="1"/>
  <c r="L9" i="13" s="1"/>
  <c r="S41" i="23" l="1"/>
  <c r="AL34" i="23"/>
  <c r="L12" i="18" s="1"/>
  <c r="AL35" i="23"/>
  <c r="L13" i="18" s="1"/>
  <c r="AL36" i="23"/>
  <c r="L14" i="18" s="1"/>
  <c r="S40" i="23"/>
  <c r="L15" i="18"/>
  <c r="AL27" i="23"/>
  <c r="L7" i="18" s="1"/>
  <c r="R40" i="23"/>
  <c r="R29" i="23"/>
  <c r="AL30" i="23" s="1"/>
  <c r="L10" i="18" s="1"/>
  <c r="R40" i="20"/>
  <c r="S40" i="20"/>
  <c r="R29" i="20"/>
  <c r="AL30" i="20" s="1"/>
  <c r="L10" i="13" s="1"/>
  <c r="AL36" i="20"/>
  <c r="L14" i="13" s="1"/>
  <c r="AL27" i="20"/>
  <c r="L7" i="13" s="1"/>
  <c r="AL37" i="20"/>
  <c r="L15" i="13" s="1"/>
  <c r="AL35" i="20"/>
  <c r="L13" i="13" s="1"/>
  <c r="AL34" i="20"/>
  <c r="L12" i="13" s="1"/>
  <c r="X11" i="15"/>
  <c r="L3" i="18"/>
  <c r="R24" i="18" s="1"/>
  <c r="C2" i="18"/>
  <c r="E10" i="18" s="1"/>
  <c r="AL28" i="20" l="1"/>
  <c r="L8" i="13" s="1"/>
  <c r="AL21" i="20"/>
  <c r="AL31" i="20" s="1"/>
  <c r="L11" i="13" s="1"/>
  <c r="AL28" i="23"/>
  <c r="L8" i="18" s="1"/>
  <c r="AL21" i="23"/>
  <c r="AL31" i="23" s="1"/>
  <c r="D29" i="23"/>
  <c r="D29" i="20"/>
  <c r="L16" i="18"/>
  <c r="D11" i="18"/>
  <c r="E20" i="18"/>
  <c r="D21" i="18" s="1"/>
  <c r="E13" i="18"/>
  <c r="E11" i="18"/>
  <c r="E12" i="18"/>
  <c r="E19" i="18"/>
  <c r="E7" i="18"/>
  <c r="E14" i="18"/>
  <c r="E15" i="18"/>
  <c r="E16" i="18"/>
  <c r="E17" i="18"/>
  <c r="E18" i="18"/>
  <c r="E8" i="18"/>
  <c r="E9" i="18"/>
  <c r="AL32" i="23" l="1"/>
  <c r="L11" i="18"/>
  <c r="AL32" i="20"/>
  <c r="D10" i="18"/>
  <c r="F10" i="18"/>
  <c r="H10" i="18" s="1"/>
  <c r="F15" i="18"/>
  <c r="H15" i="18" s="1"/>
  <c r="D15" i="18"/>
  <c r="F14" i="18"/>
  <c r="H14" i="18" s="1"/>
  <c r="D14" i="18"/>
  <c r="F16" i="18"/>
  <c r="H16" i="18" s="1"/>
  <c r="D16" i="18"/>
  <c r="F7" i="18"/>
  <c r="H7" i="18" s="1"/>
  <c r="D8" i="18"/>
  <c r="F8" i="18"/>
  <c r="H8" i="18" s="1"/>
  <c r="I8" i="18" s="1"/>
  <c r="F19" i="18"/>
  <c r="H19" i="18" s="1"/>
  <c r="D19" i="18"/>
  <c r="F18" i="18"/>
  <c r="H18" i="18" s="1"/>
  <c r="D18" i="18"/>
  <c r="D13" i="18"/>
  <c r="F13" i="18"/>
  <c r="H13" i="18" s="1"/>
  <c r="D20" i="18"/>
  <c r="F20" i="18"/>
  <c r="H20" i="18" s="1"/>
  <c r="D9" i="18"/>
  <c r="F9" i="18"/>
  <c r="H9" i="18" s="1"/>
  <c r="F17" i="18"/>
  <c r="H17" i="18" s="1"/>
  <c r="D17" i="18"/>
  <c r="F12" i="18"/>
  <c r="H12" i="18" s="1"/>
  <c r="D12" i="18"/>
  <c r="F11" i="18"/>
  <c r="H11" i="18" s="1"/>
  <c r="O10" i="18" l="1"/>
  <c r="I9" i="18"/>
  <c r="I10" i="18" s="1"/>
  <c r="I11" i="18" s="1"/>
  <c r="I12" i="18" s="1"/>
  <c r="I13" i="18" s="1"/>
  <c r="I14" i="18" s="1"/>
  <c r="I15" i="18" s="1"/>
  <c r="I16" i="18" s="1"/>
  <c r="I17" i="18" s="1"/>
  <c r="I18" i="18" s="1"/>
  <c r="I19" i="18" s="1"/>
  <c r="I20" i="18" s="1"/>
  <c r="O10" i="13"/>
  <c r="C2" i="13" l="1"/>
  <c r="E12" i="13" s="1"/>
  <c r="L3" i="13"/>
  <c r="R24" i="13" s="1"/>
  <c r="L16" i="13" l="1"/>
  <c r="E19" i="13"/>
  <c r="D20" i="13" s="1"/>
  <c r="E15" i="13"/>
  <c r="D16" i="13" s="1"/>
  <c r="E11" i="13"/>
  <c r="D12" i="13" s="1"/>
  <c r="D13" i="13"/>
  <c r="E18" i="13"/>
  <c r="E10" i="13"/>
  <c r="E17" i="13"/>
  <c r="E9" i="13"/>
  <c r="E7" i="13"/>
  <c r="D8" i="13" s="1"/>
  <c r="E16" i="13"/>
  <c r="E8" i="13"/>
  <c r="E14" i="13"/>
  <c r="E13" i="13"/>
  <c r="E20" i="13"/>
  <c r="F12" i="13" l="1"/>
  <c r="F11" i="13"/>
  <c r="F14" i="13"/>
  <c r="D15" i="13"/>
  <c r="D21" i="13"/>
  <c r="F20" i="13"/>
  <c r="D10" i="13"/>
  <c r="F9" i="13"/>
  <c r="D18" i="13"/>
  <c r="F17" i="13"/>
  <c r="D9" i="13"/>
  <c r="F8" i="13"/>
  <c r="D17" i="13"/>
  <c r="F16" i="13"/>
  <c r="F13" i="13"/>
  <c r="D14" i="13"/>
  <c r="D11" i="13"/>
  <c r="F10" i="13"/>
  <c r="D19" i="13"/>
  <c r="F18" i="13"/>
  <c r="F15" i="13"/>
  <c r="F19" i="13"/>
  <c r="R21" i="13" l="1"/>
  <c r="O9" i="13"/>
  <c r="R8" i="13"/>
  <c r="R22" i="18"/>
  <c r="R22" i="13"/>
  <c r="R9" i="13"/>
  <c r="R9" i="18"/>
  <c r="O9" i="18"/>
  <c r="R21" i="18"/>
  <c r="O8" i="18"/>
  <c r="L17" i="18"/>
  <c r="R8" i="18"/>
  <c r="O8" i="13"/>
  <c r="L17" i="13"/>
  <c r="O11" i="13" l="1"/>
  <c r="O14" i="13" s="1"/>
  <c r="R11" i="18"/>
  <c r="R14" i="18" s="1"/>
  <c r="R17" i="18" s="1"/>
  <c r="R11" i="13"/>
  <c r="R14" i="13" s="1"/>
  <c r="O11" i="18"/>
  <c r="O14" i="18" s="1"/>
  <c r="F7" i="13"/>
  <c r="H7" i="13" s="1"/>
  <c r="H9" i="13"/>
  <c r="H10" i="13"/>
  <c r="H11" i="13"/>
  <c r="H12" i="13"/>
  <c r="H13" i="13"/>
  <c r="H15" i="13"/>
  <c r="H16" i="13"/>
  <c r="H17" i="13"/>
  <c r="H18" i="13"/>
  <c r="H19" i="13"/>
  <c r="H20" i="13"/>
  <c r="H8" i="13"/>
  <c r="I8" i="13" s="1"/>
  <c r="R19" i="18" l="1"/>
  <c r="R15" i="18"/>
  <c r="R18" i="18" s="1"/>
  <c r="R16" i="18"/>
  <c r="O17" i="18"/>
  <c r="O16" i="18"/>
  <c r="O15" i="18"/>
  <c r="O19" i="18"/>
  <c r="O16" i="13"/>
  <c r="O17" i="13"/>
  <c r="O15" i="13"/>
  <c r="R17" i="13"/>
  <c r="R15" i="13"/>
  <c r="R16" i="13"/>
  <c r="I9" i="13"/>
  <c r="I10" i="13" s="1"/>
  <c r="I11" i="13" s="1"/>
  <c r="I12" i="13" s="1"/>
  <c r="I13" i="13" s="1"/>
  <c r="H14" i="13"/>
  <c r="R20" i="18" l="1"/>
  <c r="R23" i="18" s="1"/>
  <c r="R26" i="18" s="1"/>
  <c r="O18" i="18"/>
  <c r="O20" i="18" s="1"/>
  <c r="O22" i="18" s="1"/>
  <c r="R18" i="13"/>
  <c r="O18" i="13"/>
  <c r="I14" i="13"/>
  <c r="AL39" i="23" l="1"/>
  <c r="AL38" i="23"/>
  <c r="I15" i="13"/>
  <c r="I16" i="13" s="1"/>
  <c r="I17" i="13" s="1"/>
  <c r="I18" i="13" s="1"/>
  <c r="I19" i="13" s="1"/>
  <c r="I20" i="13" s="1"/>
  <c r="O19" i="13"/>
  <c r="O20" i="13" s="1"/>
  <c r="O22" i="13" s="1"/>
  <c r="R19" i="13"/>
  <c r="R20" i="13" s="1"/>
  <c r="R23" i="13" s="1"/>
  <c r="R26" i="13" s="1"/>
  <c r="AL40" i="23" l="1"/>
  <c r="AL41" i="23"/>
  <c r="AL38" i="20"/>
  <c r="AL39" i="20"/>
  <c r="AK42" i="23" l="1"/>
  <c r="AL40" i="20"/>
  <c r="AL41" i="20"/>
  <c r="AK42"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LUZIA Jose-Antonio (eu-LISA)</author>
  </authors>
  <commentList>
    <comment ref="O11" authorId="0" shapeId="0" xr:uid="{4EECDF79-B888-4E8D-9DEF-D319814538EF}">
      <text>
        <r>
          <rPr>
            <sz val="8"/>
            <color indexed="81"/>
            <rFont val="Tahoma"/>
            <family val="2"/>
          </rPr>
          <t>= 90% of the Basic Salary (rounded to 2 decimals), MINUS the sum of the deductions (round to 2 decimals)</t>
        </r>
      </text>
    </comment>
    <comment ref="R11" authorId="0" shapeId="0" xr:uid="{40B59685-BE1D-4434-83A1-AD773E1DAB2E}">
      <text>
        <r>
          <rPr>
            <sz val="8"/>
            <color indexed="81"/>
            <rFont val="Tahoma"/>
            <family val="2"/>
          </rPr>
          <t>= 90% of the Basic Salary (rounded to 2 decimals), MINUS the sum of the deductions (round to 2 decimals)</t>
        </r>
      </text>
    </comment>
    <comment ref="O22" authorId="0" shapeId="0" xr:uid="{E820D901-A609-4FE4-BAFA-24803FF9FE18}">
      <text>
        <r>
          <rPr>
            <sz val="8"/>
            <color indexed="81"/>
            <rFont val="Tahoma"/>
            <family val="2"/>
          </rPr>
          <t>= Minimum between (MaxTax and Total Tax payable)</t>
        </r>
      </text>
    </comment>
    <comment ref="R25" authorId="0" shapeId="0" xr:uid="{B8E28FA4-26D1-4243-87D6-2B0E6AA1D2B4}">
      <text>
        <r>
          <rPr>
            <sz val="8"/>
            <color indexed="81"/>
            <rFont val="Tahoma"/>
            <family val="2"/>
          </rPr>
          <t>Can be 6% or 7%
7%: if grade=15 and step&gt;1, OR, if grade &gt;15
6%: Rest</t>
        </r>
      </text>
    </comment>
    <comment ref="R26" authorId="0" shapeId="0" xr:uid="{34E70AE1-9A87-40ED-A10B-D54B9FB9CD6C}">
      <text>
        <r>
          <rPr>
            <sz val="8"/>
            <color indexed="81"/>
            <rFont val="Tahoma"/>
            <family val="2"/>
          </rPr>
          <t>= Minimum between (MaxTax and Total Tax payable)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LUZIA Jose-Antonio (eu-LISA)</author>
  </authors>
  <commentList>
    <comment ref="O11" authorId="0" shapeId="0" xr:uid="{AB134B38-5096-456C-A34F-C81BFC45845C}">
      <text>
        <r>
          <rPr>
            <sz val="8"/>
            <color indexed="81"/>
            <rFont val="Tahoma"/>
            <family val="2"/>
          </rPr>
          <t>= 90% of the Basic Salary (rounded to 2 decimals), MINUS the sum of the deductions (round to 2 decimals)</t>
        </r>
      </text>
    </comment>
    <comment ref="R11" authorId="0" shapeId="0" xr:uid="{6E9644D7-4159-423D-A528-F95F44CD1671}">
      <text>
        <r>
          <rPr>
            <sz val="8"/>
            <color indexed="81"/>
            <rFont val="Tahoma"/>
            <family val="2"/>
          </rPr>
          <t>= 90% of the Basic Salary (rounded to 2 decimals), MINUS the sum of the deductions (round to 2 decimals)</t>
        </r>
      </text>
    </comment>
    <comment ref="O22" authorId="0" shapeId="0" xr:uid="{9AD3F9D2-A6DD-46BA-985B-B1C64AC70A88}">
      <text>
        <r>
          <rPr>
            <sz val="8"/>
            <color indexed="81"/>
            <rFont val="Tahoma"/>
            <family val="2"/>
          </rPr>
          <t>= Minimum between (MaxTax and Total Tax payable)</t>
        </r>
      </text>
    </comment>
    <comment ref="R25" authorId="0" shapeId="0" xr:uid="{2EBC0D96-2CC1-406B-ACA7-965879725458}">
      <text>
        <r>
          <rPr>
            <sz val="8"/>
            <color indexed="81"/>
            <rFont val="Tahoma"/>
            <family val="2"/>
          </rPr>
          <t>Contract Agents only have a 6% rate.</t>
        </r>
      </text>
    </comment>
    <comment ref="R26" authorId="0" shapeId="0" xr:uid="{A3BF0CDC-5D4D-4FC2-BED3-DAAE39A08DF9}">
      <text>
        <r>
          <rPr>
            <sz val="8"/>
            <color indexed="81"/>
            <rFont val="Tahoma"/>
            <family val="2"/>
          </rPr>
          <t>= Minimum between (MaxTax and Total Tax payable)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<sst xmlns="http://schemas.openxmlformats.org/spreadsheetml/2006/main" count="643" uniqueCount="354">
  <si>
    <t>Dependent child allowance</t>
  </si>
  <si>
    <t>Household allowance</t>
  </si>
  <si>
    <t>Expatriation allowance</t>
  </si>
  <si>
    <t>Installation allowance</t>
  </si>
  <si>
    <t>Basic Salary</t>
  </si>
  <si>
    <t>Rate</t>
  </si>
  <si>
    <t>Taxable portion of salary</t>
  </si>
  <si>
    <t>From</t>
  </si>
  <si>
    <t>To</t>
  </si>
  <si>
    <t>Tax payable</t>
  </si>
  <si>
    <t>Accident Insurance</t>
  </si>
  <si>
    <t>Health Insurance</t>
  </si>
  <si>
    <t>Unemployment Insurance</t>
  </si>
  <si>
    <t>Pension contribution</t>
  </si>
  <si>
    <t>TAX Table</t>
  </si>
  <si>
    <t>Standard Allowance</t>
  </si>
  <si>
    <t>Taxable Salary</t>
  </si>
  <si>
    <t>City Correction coefficient</t>
  </si>
  <si>
    <t>Country/Place</t>
  </si>
  <si>
    <t>Remuneration</t>
  </si>
  <si>
    <t>Transfer</t>
  </si>
  <si>
    <t>Pension</t>
  </si>
  <si>
    <t>Germany - Münich</t>
  </si>
  <si>
    <t>Netherlands</t>
  </si>
  <si>
    <t>Poland</t>
  </si>
  <si>
    <t>Portugal</t>
  </si>
  <si>
    <t>Romania</t>
  </si>
  <si>
    <t>Slovakia</t>
  </si>
  <si>
    <t>Slovenia</t>
  </si>
  <si>
    <t>Spain</t>
  </si>
  <si>
    <t>Sweden</t>
  </si>
  <si>
    <t>United Kingdom</t>
  </si>
  <si>
    <t>Austria</t>
  </si>
  <si>
    <t>Bulgaria</t>
  </si>
  <si>
    <t>Croatia</t>
  </si>
  <si>
    <t>Cyprus</t>
  </si>
  <si>
    <t>Czechia</t>
  </si>
  <si>
    <t>Denmark</t>
  </si>
  <si>
    <t>Estonia</t>
  </si>
  <si>
    <t>Finland</t>
  </si>
  <si>
    <t>France</t>
  </si>
  <si>
    <t>Germany</t>
  </si>
  <si>
    <t>Greece</t>
  </si>
  <si>
    <t>Hungary</t>
  </si>
  <si>
    <t>Ireland</t>
  </si>
  <si>
    <t>Italy</t>
  </si>
  <si>
    <t>Germany - Karlsruhe</t>
  </si>
  <si>
    <t>Latvia</t>
  </si>
  <si>
    <t>Lithuania</t>
  </si>
  <si>
    <t>Malta</t>
  </si>
  <si>
    <t>Belgium</t>
  </si>
  <si>
    <t>Luxembourg</t>
  </si>
  <si>
    <t xml:space="preserve">0-200 km </t>
  </si>
  <si>
    <t xml:space="preserve">201-1000 km </t>
  </si>
  <si>
    <t xml:space="preserve">1001-2000 km </t>
  </si>
  <si>
    <t xml:space="preserve">2001-3000 km </t>
  </si>
  <si>
    <t xml:space="preserve">3001-4000 km </t>
  </si>
  <si>
    <t xml:space="preserve">4001-10000 km </t>
  </si>
  <si>
    <t xml:space="preserve">Over 10000 km </t>
  </si>
  <si>
    <t>Upper limit</t>
  </si>
  <si>
    <t>Lower limit</t>
  </si>
  <si>
    <t>Amount of the standard allowance</t>
  </si>
  <si>
    <t>Grades</t>
  </si>
  <si>
    <t>Function Groups</t>
  </si>
  <si>
    <t>Steps</t>
  </si>
  <si>
    <t>Function Group</t>
  </si>
  <si>
    <t>Article 66 of the Staff Regulations</t>
  </si>
  <si>
    <t>Amounts of the scale of basic salaries of the Conditions of Employment of Other Servants</t>
  </si>
  <si>
    <t>Article 93 of the Staff Regulations</t>
  </si>
  <si>
    <t>Coefficient</t>
  </si>
  <si>
    <t>Parental Leave Allowance</t>
  </si>
  <si>
    <t>Education allowance</t>
  </si>
  <si>
    <t xml:space="preserve">Education allowance </t>
  </si>
  <si>
    <t>Expatriation Allowance (minimum amount)</t>
  </si>
  <si>
    <t>Allowances</t>
  </si>
  <si>
    <t>Italy - Varese</t>
  </si>
  <si>
    <t>AD-05</t>
  </si>
  <si>
    <t>Deductions</t>
  </si>
  <si>
    <t>AD-16</t>
  </si>
  <si>
    <t>AD-15</t>
  </si>
  <si>
    <t>AD-14</t>
  </si>
  <si>
    <t>AD-13</t>
  </si>
  <si>
    <t>AD-12</t>
  </si>
  <si>
    <t>AD-11</t>
  </si>
  <si>
    <t>AD-10</t>
  </si>
  <si>
    <t>AD-09</t>
  </si>
  <si>
    <t>AD-08</t>
  </si>
  <si>
    <t>AD-07</t>
  </si>
  <si>
    <t>AD-06</t>
  </si>
  <si>
    <t>AST-09</t>
  </si>
  <si>
    <t>AST-08</t>
  </si>
  <si>
    <t>AST-07</t>
  </si>
  <si>
    <t>AST-06</t>
  </si>
  <si>
    <t>AST-05</t>
  </si>
  <si>
    <t>AST-04</t>
  </si>
  <si>
    <t>AST-03</t>
  </si>
  <si>
    <t>AST-02</t>
  </si>
  <si>
    <t>AST-01</t>
  </si>
  <si>
    <t>SC-06</t>
  </si>
  <si>
    <t>SC-05</t>
  </si>
  <si>
    <t>SC-04</t>
  </si>
  <si>
    <t>SC-03</t>
  </si>
  <si>
    <t>SC-02</t>
  </si>
  <si>
    <t>SC-01</t>
  </si>
  <si>
    <t>Amounts of basic monthly salaries for each grade and step in function groups AD, AST and SC</t>
  </si>
  <si>
    <t>eu-LISA</t>
  </si>
  <si>
    <t>No</t>
  </si>
  <si>
    <t>Dependent Child List</t>
  </si>
  <si>
    <t>AST-11</t>
  </si>
  <si>
    <t>AST-10</t>
  </si>
  <si>
    <t>Comments</t>
  </si>
  <si>
    <t>Pay &amp; Allowances</t>
  </si>
  <si>
    <t>Yes</t>
  </si>
  <si>
    <t>Temporary Agents</t>
  </si>
  <si>
    <t>Contract Agents</t>
  </si>
  <si>
    <t>Article 1(1) of Annex VII to the SR</t>
  </si>
  <si>
    <t>Article 2(1) of Annex VII to the SR</t>
  </si>
  <si>
    <t>Article 3(1) of Annex VII to the SR</t>
  </si>
  <si>
    <t>Article 3(2) of Annex VII to the SR</t>
  </si>
  <si>
    <t>Article 7(2) of Annex VII to the SR</t>
  </si>
  <si>
    <t>Entitled to the household allowance</t>
  </si>
  <si>
    <t>120 days</t>
  </si>
  <si>
    <t>180 days. If a probationer, probation period + 1 month (typically 9+1)</t>
  </si>
  <si>
    <t>Payed only if the expatriation or foreign residence allowance is being payed.</t>
  </si>
  <si>
    <t>Payed each calendar year.</t>
  </si>
  <si>
    <t>Flatrate payment: Cost of travel from the place of employment to the place of origin.</t>
  </si>
  <si>
    <t>Children aged less than 2y during the entire calendar year, shall not be reimbursed.</t>
  </si>
  <si>
    <t>Travel expenses: Kilometric allowance (payed each year)</t>
  </si>
  <si>
    <t>Daily Subsistence allowance</t>
  </si>
  <si>
    <t>Unemployment allowance (limits)</t>
  </si>
  <si>
    <t>Temporary staff engaged for a fixed period of not less than 1 year</t>
  </si>
  <si>
    <t>Installation allowance (lower limit)</t>
  </si>
  <si>
    <t>CEOS = Conditions of Employment of Other Servants</t>
  </si>
  <si>
    <t>SR = Staff Regulations</t>
  </si>
  <si>
    <t>Period of Service =&gt; 1y and &lt;2y = 1/3. PS =&gt; 2y and &lt;3y = 2/3. PS =&gt; 3y = 3/3</t>
  </si>
  <si>
    <t>2 m x BS</t>
  </si>
  <si>
    <t>1 m x BS</t>
  </si>
  <si>
    <t>2 month's basic salary who is entitled to the household allowance</t>
  </si>
  <si>
    <t>1 month basic salary who is NOT entitled to the household allowance</t>
  </si>
  <si>
    <t>Resettlement allowance (termination of service)</t>
  </si>
  <si>
    <t>Article 6 of Annex VII to the Staff Regulations</t>
  </si>
  <si>
    <t>Article 8(2) of Annex VII to the SR</t>
  </si>
  <si>
    <t>Article 10(1) of Annex VII to the SR</t>
  </si>
  <si>
    <t>Article 5 of Annex VII to the SR</t>
  </si>
  <si>
    <t>NOT entitled to the household allowance</t>
  </si>
  <si>
    <t>YorN</t>
  </si>
  <si>
    <t>Step</t>
  </si>
  <si>
    <t>Grade</t>
  </si>
  <si>
    <t>1</t>
  </si>
  <si>
    <t>2</t>
  </si>
  <si>
    <t>3</t>
  </si>
  <si>
    <t>4</t>
  </si>
  <si>
    <t>5</t>
  </si>
  <si>
    <t>Values</t>
  </si>
  <si>
    <t>Year 1968</t>
  </si>
  <si>
    <t>Article 3 of Regulation No 260/68</t>
  </si>
  <si>
    <t>#</t>
  </si>
  <si>
    <t>Order</t>
  </si>
  <si>
    <t>Simulator Group</t>
  </si>
  <si>
    <t>AD16</t>
  </si>
  <si>
    <t>AD15</t>
  </si>
  <si>
    <t>AD14</t>
  </si>
  <si>
    <t>AD13</t>
  </si>
  <si>
    <t>AD12</t>
  </si>
  <si>
    <t>AD11</t>
  </si>
  <si>
    <t>AD10</t>
  </si>
  <si>
    <t>AD09</t>
  </si>
  <si>
    <t>AD08</t>
  </si>
  <si>
    <t>AD07</t>
  </si>
  <si>
    <t>AD06</t>
  </si>
  <si>
    <t>AD05</t>
  </si>
  <si>
    <t>AST11</t>
  </si>
  <si>
    <t>AST10</t>
  </si>
  <si>
    <t>AST09</t>
  </si>
  <si>
    <t>AST08</t>
  </si>
  <si>
    <t>AST07</t>
  </si>
  <si>
    <t>AST06</t>
  </si>
  <si>
    <t>AST05</t>
  </si>
  <si>
    <t>AST04</t>
  </si>
  <si>
    <t>AST03</t>
  </si>
  <si>
    <t>AST02</t>
  </si>
  <si>
    <t>AST01</t>
  </si>
  <si>
    <t>SC06</t>
  </si>
  <si>
    <t>SC05</t>
  </si>
  <si>
    <t>SC04</t>
  </si>
  <si>
    <t>SC03</t>
  </si>
  <si>
    <t>SC02</t>
  </si>
  <si>
    <t>SC01</t>
  </si>
  <si>
    <t>&lt;5y</t>
  </si>
  <si>
    <t>Value</t>
  </si>
  <si>
    <t>CC</t>
  </si>
  <si>
    <t>8% to 45%</t>
  </si>
  <si>
    <t>Salary
bracket</t>
  </si>
  <si>
    <t>Option Nr</t>
  </si>
  <si>
    <t>Net Salary</t>
  </si>
  <si>
    <t>Salary simulator</t>
  </si>
  <si>
    <t>Tax Coefficient</t>
  </si>
  <si>
    <r>
      <t>2</t>
    </r>
    <r>
      <rPr>
        <vertAlign val="superscript"/>
        <sz val="8"/>
        <rFont val="Arial"/>
        <family val="2"/>
      </rPr>
      <t>nd</t>
    </r>
    <r>
      <rPr>
        <sz val="8"/>
        <rFont val="Arial"/>
        <family val="2"/>
      </rPr>
      <t xml:space="preserve"> paragraph of Article 42a of the SR</t>
    </r>
  </si>
  <si>
    <r>
      <t>3</t>
    </r>
    <r>
      <rPr>
        <vertAlign val="superscript"/>
        <sz val="8"/>
        <rFont val="Arial"/>
        <family val="2"/>
      </rPr>
      <t>rd</t>
    </r>
    <r>
      <rPr>
        <sz val="8"/>
        <rFont val="Arial"/>
        <family val="2"/>
      </rPr>
      <t xml:space="preserve"> paragraph of Article 42a of the SR</t>
    </r>
  </si>
  <si>
    <r>
      <t>Article 69 of the SR and 2</t>
    </r>
    <r>
      <rPr>
        <vertAlign val="superscript"/>
        <sz val="8"/>
        <rFont val="Arial"/>
        <family val="2"/>
      </rPr>
      <t>nd</t>
    </r>
    <r>
      <rPr>
        <sz val="8"/>
        <rFont val="Arial"/>
        <family val="2"/>
      </rPr>
      <t xml:space="preserve"> subparagraph of Article 4(1) of Annex VII</t>
    </r>
  </si>
  <si>
    <t>Minimum Vital</t>
  </si>
  <si>
    <t>Maximum Tax</t>
  </si>
  <si>
    <t>Minimum Vital (AST1.1)</t>
  </si>
  <si>
    <t>Deductions (round)</t>
  </si>
  <si>
    <t>90% of Basic Salary (round)</t>
  </si>
  <si>
    <t>2x Dependent Child allowance (round)</t>
  </si>
  <si>
    <t>Reference line</t>
  </si>
  <si>
    <t>from</t>
  </si>
  <si>
    <t>to</t>
  </si>
  <si>
    <t>Total Tax payable</t>
  </si>
  <si>
    <t>Tax bracket calculation</t>
  </si>
  <si>
    <t>Final Tax to pay</t>
  </si>
  <si>
    <t>Tax (being single)</t>
  </si>
  <si>
    <t>Tax calculation</t>
  </si>
  <si>
    <t>Special Levy %</t>
  </si>
  <si>
    <t>Special Levy amount</t>
  </si>
  <si>
    <t>Special Levy (being single)</t>
  </si>
  <si>
    <t>Dependent Child</t>
  </si>
  <si>
    <t>For TA's: article 24(3) | For CA's: article 94</t>
  </si>
  <si>
    <t>For TA's: 2nd subparagraph of Article 28a(3) | For CA's: article 96(3)</t>
  </si>
  <si>
    <t>For TA's: article 28a(7) | For CA's: article 96(7)</t>
  </si>
  <si>
    <t>Shift Work allowances</t>
  </si>
  <si>
    <t>Travel expenses: KM allowance (taking up / ending appointment)</t>
  </si>
  <si>
    <r>
      <t>Article 4 of Council Regulation (EEC, Euratom, ECSC) No 260/68</t>
    </r>
    <r>
      <rPr>
        <b/>
        <vertAlign val="superscript"/>
        <sz val="8"/>
        <rFont val="Arial"/>
        <family val="2"/>
      </rPr>
      <t>3</t>
    </r>
  </si>
  <si>
    <t>Type 1</t>
  </si>
  <si>
    <t>Type 2</t>
  </si>
  <si>
    <t>Type 3</t>
  </si>
  <si>
    <t>Type 4</t>
  </si>
  <si>
    <t>TA Salary Order</t>
  </si>
  <si>
    <t>TA Salary Grade</t>
  </si>
  <si>
    <t>CA Salary Order</t>
  </si>
  <si>
    <t>TA Steps</t>
  </si>
  <si>
    <t>CA Steps</t>
  </si>
  <si>
    <t>6</t>
  </si>
  <si>
    <t xml:space="preserve">FGIV </t>
  </si>
  <si>
    <t xml:space="preserve">FGIII </t>
  </si>
  <si>
    <t xml:space="preserve">FGII </t>
  </si>
  <si>
    <t xml:space="preserve">FGI </t>
  </si>
  <si>
    <t>Row</t>
  </si>
  <si>
    <t>eu-LISA nursery allowance (maximum amount)</t>
  </si>
  <si>
    <t>[2x Article 3(1)] - Article 3(2)</t>
  </si>
  <si>
    <t>same as TA</t>
  </si>
  <si>
    <t>Contract Staff</t>
  </si>
  <si>
    <t>Temporary Staff</t>
  </si>
  <si>
    <t>Select the country of employment</t>
  </si>
  <si>
    <t>Please fill in the required fields:</t>
  </si>
  <si>
    <t>Accident insurance contribution</t>
  </si>
  <si>
    <t>Sickness insurance contribution</t>
  </si>
  <si>
    <t>Unemployment insurance contribution</t>
  </si>
  <si>
    <t>Special Levy</t>
  </si>
  <si>
    <t>Tax</t>
  </si>
  <si>
    <t>Basic Pay</t>
  </si>
  <si>
    <t xml:space="preserve">Correction Coefficient </t>
  </si>
  <si>
    <t>Flat rate: geographical distance between places 600 km and 1.200 km</t>
  </si>
  <si>
    <t>Flar rate: geographical distance between the places greater than 1.200 km</t>
  </si>
  <si>
    <t>If household allowance applies, payed also for the spouse and dependants.</t>
  </si>
  <si>
    <t>7</t>
  </si>
  <si>
    <r>
      <t>1</t>
    </r>
    <r>
      <rPr>
        <b/>
        <vertAlign val="superscript"/>
        <sz val="8"/>
        <rFont val="Arial"/>
        <family val="2"/>
      </rPr>
      <t>st</t>
    </r>
    <r>
      <rPr>
        <b/>
        <sz val="8"/>
        <rFont val="Arial"/>
        <family val="2"/>
      </rPr>
      <t xml:space="preserve"> subparagraph Article 1(1) Council Regulation (EEC, Euratom, ECSC) No 300/76</t>
    </r>
    <r>
      <rPr>
        <b/>
        <vertAlign val="superscript"/>
        <sz val="8"/>
        <rFont val="Arial"/>
        <family val="2"/>
      </rPr>
      <t>3</t>
    </r>
  </si>
  <si>
    <t>Household allowance (minimum amount)</t>
  </si>
  <si>
    <t>4. In cases where, under the foregoing provisions, a husband and wife employed in the service of the Union are both entitled to the household allowance, this shall be payable only to the person whose basic salary is the higher.</t>
  </si>
  <si>
    <t>3. If the spouse of an official is gainfully employed, with an annual income, before deduction of tax, of more than the basic annual salary of an official in the second step of grade AST 3, weighted at the rate for the country where the spouse carries out his or her occupation, the official entitled to the household allowance shall not receive this allowance save by special decision of the appointing authority. The official shall, however, be entitled to the allowance where the married couple have one or more dependent children.</t>
  </si>
  <si>
    <t>2. ‘Dependent child’ means the legitimate, natural or adopted child of an official, or of his spouse, who is actually being maintained by the official.
The same shall apply to a child for whom an application for adoption has been lodged and the adoption procedure started.
Any child whom the official has a responsibility to maintain under a judicial decision based on Member States' legislation on the protection of minors shall be treated as a dependant child.</t>
  </si>
  <si>
    <t>3. The allowance shall be granted:
     (a) automatically for children under eighteen years of age;
     (b) on application, with supporting evidence, by the official for children between eighteen and twenty-six who are receiving educational or vocational training.</t>
  </si>
  <si>
    <t>4. Any person whom the official has a legal responsibility to maintain and whose maintenance involves heavy expenditure may, exceptionally, be treated as if he were a dependent child by special reasoned decision of the appointing authority, based on supporting documents.</t>
  </si>
  <si>
    <t>5. Payment of the allowance in respect of a child prevented by serious illness or invalidity from earning a livelihood shall continue throughout the period of that illness or invalidity, irrespective of age.</t>
  </si>
  <si>
    <t>6. Not more than one dependent child allowance shall be paid in respect of any one dependent child within the meaning of this Article, even where the parents are in the service of two different institutions of the European Union.</t>
  </si>
  <si>
    <t>7. If custody of the dependent child within the meaning of paragraphs 2 and 3 has been entrusted by law or by an order of court or of the competent administrative authority to another person, the dependent child allowance shall be paid to that person in the name and on behalf of the official.</t>
  </si>
  <si>
    <t>Dependent child allowance conditions: Article 2</t>
  </si>
  <si>
    <t>Household allowance conditions: Article 1</t>
  </si>
  <si>
    <t>5. If the official is entitled to the household allowance only by virtue of paragraph 2 (b) and a person other than the official has by law or by an order of court or of the competent administrative authority been given custody of all his dependent children within the meaning of Articles 2 (2) and (3) below, the household allowance shall be paid to that other person in the name and on behalf of the official. This condition shall be deemed to be fulfilled in the case of dependent children who have reached their majority if such children have their normal residence with the other parent.
If, however, the official's children are in the care of several different persons, the household allowance shall be divided among them according to the number of children in their care.
If the person eligible by virtue of the foregoing to receive the household allowance paid in the official's name is also eligible to receive this allowance by reason of his or her own status as official or other member of staff, that person shall receive the higher of the two allowances only.</t>
  </si>
  <si>
    <t>Education allowance conditions: Article 3</t>
  </si>
  <si>
    <t>The allowance paid shall be subject to a ceiling of twice the maximum prescribed in the first subparagraph for:
— an official whose place of employment is at least 50 km from, either:
           — a European school, or
           — an educational establishment working in his language which the child attends for imperative educational reasons duly supported by evidence;
— an official whose place of employment is at least 50 km from an establishment of higher education in the country of which he is a national or working in his language, provided that the child actually attends an establishment of higher education at least 50 km from the place of employment and the official is entitled to the expatriation allowance; the latter condition shall not apply if there is no such establishment in the country of which the official is a national or where the child attends a higher education establishment in a country other than that of the official's place of employment;
— in the same condition as in the foregoing two indents, persons entitled to the allowance who are not in active service, taking account of the place of residence instead of the place of employment.
The requirement of attendance at a school that charges fees shall not apply to payments under the third subparagraph.</t>
  </si>
  <si>
    <t>If custody of the child in respect of whom the education allowance is paid has been entrusted by law or by an order of court or of the competent administrative authority to another person, the education allowance shall be paid to that person in the name and on behalf of the official. In such case, the distance of at least 50 km referred to in the preceding paragraph shall be calculated from the place of residence of the person having custody of the child.</t>
  </si>
  <si>
    <t>2. The household allowance shall, be granted to:
          a) a married official;
          b) an official who is widowed, divorced, legally separated or unmarried and has one or more dependent children within the meaning of Article 2 (2) and (3) below;
          c) an official who is registered as a stable non-marital partner, provided that:
                 (i) the couple produces a legal document recognised as such by a Member State, or any competent authority of a Member State, acknowledging their status as non-marital partners,
                 (ii) neither partner is in a marital relationship or in another non-marital partnership,
                 (iii) the partners are not related in any of the following ways: parent, child, grandparent, grandchild, brother, sister, aunt, uncle, nephew, niece, son-in-law, daughter-in-law,
                 (iv) the couple has no access to legal marriage in a Member State; a couple shall be considered to have access to legal marriage for the purposes of this point only where the members of the couple meet all the conditions laid down by the legislation of a Member State permitting marriage of such a couple;
          d) by special reasoned decision of the appointing authority based on supporting documents, an official who, while not fulfilling the conditions laid down in (a), (b) and (c), nevertheless actually assumes family responsibilities.</t>
  </si>
  <si>
    <t>Household allowance:</t>
  </si>
  <si>
    <t>Dependent child allowance:</t>
  </si>
  <si>
    <t>Reported number of dependent children (under 18, or in full time education up to age 26):</t>
  </si>
  <si>
    <t>Total</t>
  </si>
  <si>
    <t>EXPATRIATION ALLOWANCE conditions: Section 2 / Article 4</t>
  </si>
  <si>
    <t>3. For the purposes of paragraphs 1 and 2, an official who has by marriage automatically acquired and cannot renounce the nationality of the State in whose territory he or she is employed shall be treated in the same way as an official covered by the first indent of paragraph 1 (a).</t>
  </si>
  <si>
    <t xml:space="preserve">2. An official who is not and has never been a national of the State in whose territory he is employed and who does not fulfil the conditions laid down in paragraph 1 shall be entitled to a foreign residence allowance equal to one quarter of the expatriation allowance (4%).
</t>
  </si>
  <si>
    <r>
      <t xml:space="preserve">1. The household allowance shall be set at a basic amount of </t>
    </r>
    <r>
      <rPr>
        <b/>
        <sz val="11"/>
        <rFont val="Calibri"/>
        <family val="2"/>
        <scheme val="minor"/>
      </rPr>
      <t>EUR 215,91</t>
    </r>
    <r>
      <rPr>
        <sz val="11"/>
        <rFont val="Calibri"/>
        <family val="2"/>
        <scheme val="minor"/>
      </rPr>
      <t>, plus 2 % of an official's basic salary.</t>
    </r>
  </si>
  <si>
    <r>
      <t xml:space="preserve">1. An official who has one or more dependent children shall, in accordance with paragraphs 2 and 3 below, receive an allowance of </t>
    </r>
    <r>
      <rPr>
        <b/>
        <sz val="11"/>
        <rFont val="Calibri"/>
        <family val="2"/>
        <scheme val="minor"/>
      </rPr>
      <t>EUR 471,80</t>
    </r>
    <r>
      <rPr>
        <sz val="11"/>
        <color rgb="FFFF0000"/>
        <rFont val="Calibri"/>
        <family val="2"/>
        <scheme val="minor"/>
      </rPr>
      <t xml:space="preserve"> </t>
    </r>
    <r>
      <rPr>
        <sz val="11"/>
        <rFont val="Calibri"/>
        <family val="2"/>
        <scheme val="minor"/>
      </rPr>
      <t>per month for each dependent child.</t>
    </r>
  </si>
  <si>
    <r>
      <t xml:space="preserve">1. Subject to the conditions laid down in the general implementing provisions, an official shall receive an education allowance equal to the actual education costs incurred by him up to a maximum of </t>
    </r>
    <r>
      <rPr>
        <b/>
        <sz val="11"/>
        <rFont val="Calibri"/>
        <family val="2"/>
        <scheme val="minor"/>
      </rPr>
      <t>EUR 320,12</t>
    </r>
    <r>
      <rPr>
        <sz val="11"/>
        <rFont val="Calibri"/>
        <family val="2"/>
        <scheme val="minor"/>
      </rPr>
      <t xml:space="preserve"> per month for each dependent child, within the meaning of Article 2(2) of this Annex, who is at least five years old and in regular full-time attendance at a primary or secondary school which charges fees or at an establishment of higher education. The requirement of attendance at a school which charges fees shall not apply to the reimbursement of the cost of school transport.
Entitlement to that allowance shall commence on the first day of the month in which the child begins to attend a primary educational establishment and shall cease at the end of the month in which the child finishes its education or at the end of the month in which the child reaches the age of twenty-six, whatever is the earliest.</t>
    </r>
  </si>
  <si>
    <r>
      <t xml:space="preserve">2. For each dependent child within the meaning of Article 2(2) of this Annex who is less than five years old or is not yet in regular full-time attendance at a primary or secondary school, the amount of this allowance is fixed at </t>
    </r>
    <r>
      <rPr>
        <b/>
        <sz val="11"/>
        <rFont val="Calibri"/>
        <family val="2"/>
        <scheme val="minor"/>
      </rPr>
      <t>EUR 115,26</t>
    </r>
    <r>
      <rPr>
        <sz val="11"/>
        <rFont val="Calibri"/>
        <family val="2"/>
        <scheme val="minor"/>
      </rPr>
      <t xml:space="preserve"> a month. The first sentence of the last subparagraph of paragraph 1 shall apply.</t>
    </r>
  </si>
  <si>
    <r>
      <t xml:space="preserve">1. An expatriation allowance equal to 16 % of the total of the basic salary, household allowance and dependent child allowance paid to the official shall be paid:
(a) to officials:
— who are not and have never been nationals of the State in whose territory the place where they are employed is situated, AND
— who during the five years ending six months before they entered the service did not habitually reside or carry on their main occupation within the European territory of that State. For the purposes of this provision, circumstances arising from work done for another State or for an international organisation shall not be taken into account;
(b) to officials who are or have been nationals of the State in whose territory the place where they are employed is situated but who during the ten years ending at the date of their entering the service habitually resided outside the European territory of that State for reasons other than the performance of duties in the service of a State or of an international organisation.
The expatriation allowance shall be not less than </t>
    </r>
    <r>
      <rPr>
        <b/>
        <sz val="11"/>
        <rFont val="Calibri"/>
        <family val="2"/>
        <scheme val="minor"/>
      </rPr>
      <t>EUR 639,94</t>
    </r>
    <r>
      <rPr>
        <sz val="11"/>
        <rFont val="Calibri"/>
        <family val="2"/>
        <scheme val="minor"/>
      </rPr>
      <t xml:space="preserve"> per month.</t>
    </r>
  </si>
  <si>
    <t>From those, how many children:</t>
  </si>
  <si>
    <t>How many dependent children? (under 18, or in full time education up to age 26):</t>
  </si>
  <si>
    <t>6-18y noEU &lt;50km</t>
  </si>
  <si>
    <t>6-18y noEU +=50km</t>
  </si>
  <si>
    <t>FGIV-18</t>
  </si>
  <si>
    <t>FGIV-17</t>
  </si>
  <si>
    <t>FGIV-16</t>
  </si>
  <si>
    <t>FGIV-15</t>
  </si>
  <si>
    <t>FGIV-14</t>
  </si>
  <si>
    <t>FGIV-13</t>
  </si>
  <si>
    <t>FGIII-12</t>
  </si>
  <si>
    <t>FGIII-11</t>
  </si>
  <si>
    <t>FGIII-10</t>
  </si>
  <si>
    <t>FGIII-9</t>
  </si>
  <si>
    <t>FGIII-8</t>
  </si>
  <si>
    <t>FGII-7</t>
  </si>
  <si>
    <t>FGII-6</t>
  </si>
  <si>
    <t>FGII-5</t>
  </si>
  <si>
    <t>FGII-4</t>
  </si>
  <si>
    <t>FGI-3</t>
  </si>
  <si>
    <t>FGI-2</t>
  </si>
  <si>
    <t>FGI-1</t>
  </si>
  <si>
    <t>AST9</t>
  </si>
  <si>
    <t>AST8</t>
  </si>
  <si>
    <t>AST7</t>
  </si>
  <si>
    <t>AST6</t>
  </si>
  <si>
    <t>AST5</t>
  </si>
  <si>
    <t>AST4</t>
  </si>
  <si>
    <t>AST3</t>
  </si>
  <si>
    <t>AST2</t>
  </si>
  <si>
    <t>AST1</t>
  </si>
  <si>
    <t>AD9</t>
  </si>
  <si>
    <t>AD8</t>
  </si>
  <si>
    <t>AD7</t>
  </si>
  <si>
    <t>AD6</t>
  </si>
  <si>
    <t>AD5</t>
  </si>
  <si>
    <t>(a) For the purposes of this provision, circumstances arising from work done for another State or for an international organisation shall not be taken into account;</t>
  </si>
  <si>
    <t>Univ = country</t>
  </si>
  <si>
    <t>(b) Only attendance fees and transports costs are reimbursable, all other costs are not reimbursable. Maximum value that might be reimbursed.</t>
  </si>
  <si>
    <t>Univ &lt;&gt; country</t>
  </si>
  <si>
    <t>Univ expat +50km</t>
  </si>
  <si>
    <t>(c) under specific conditions, "staff member's country of employment" or "staff member's place of employment" can be ridden as "place of residence of the person with custody of the child".</t>
  </si>
  <si>
    <t>1) You ARE NOT a national (and never have been) of the country of employment, AND during the five years ending six months before entering service DID NOT habitually reside or carry on your main occupation within the European territory of that State (a)</t>
  </si>
  <si>
    <t>2) You ARE NOT a national (and never have been) of the country of employment, AND you don't fulfil the conditions laid down in 1)</t>
  </si>
  <si>
    <t>3) You ARE a national (OR have been) of the country of employment, AND during the last 10 years before entering service habitually resided OUTSIDE the European territory of that country (a)</t>
  </si>
  <si>
    <t>4) You ARE a national (or have been) of the country of employment, AND you don't fulfil the conditions laid down in 3)</t>
  </si>
  <si>
    <t>For entering positions, steps 1 or 2 apply, depending on the criteria described</t>
  </si>
  <si>
    <t>in the Vacancy Notice.</t>
  </si>
  <si>
    <t>1. Basic pay</t>
  </si>
  <si>
    <t>2. Education allowance</t>
  </si>
  <si>
    <t>3. Household &amp; Dependent child allowance</t>
  </si>
  <si>
    <t>4. Correction coefficient</t>
  </si>
  <si>
    <t>5. Expatriation or Foreign residence allowance</t>
  </si>
  <si>
    <t>6. Salary calculation</t>
  </si>
  <si>
    <t>&gt; attend University online or situated in the staff member's country of employment? (c)</t>
  </si>
  <si>
    <t>&gt; attend University situated in another country other than the staff member's country of employment? (c)</t>
  </si>
  <si>
    <t>&gt; attend University situated at least 50 km from the staff member's place of employment? (only expats) (c)</t>
  </si>
  <si>
    <t>Select the Grade:</t>
  </si>
  <si>
    <t>Select the Step:</t>
  </si>
  <si>
    <t xml:space="preserve">&gt; attend primary or secondary school (not European School), situated &lt; 50 km from the place of employment? (b)(c) </t>
  </si>
  <si>
    <t xml:space="preserve">&gt; attend primary or secondary school (not European School), situated &gt;= 50 km from the place of employment? (b)(c) </t>
  </si>
  <si>
    <t>Note: If the child attends an European School only transports costs are reimbursable, all other costs are not reimbursable. Maximum value that might be reimbursed is the annual cost of a student season ticket on public transport in your region, divided into 12 monthly payments.</t>
  </si>
  <si>
    <t>Grade: for enterings positions the following grades apply:</t>
  </si>
  <si>
    <t>Step: for entering positions only step 1 applies.</t>
  </si>
  <si>
    <t>FGI-1 , FGII-4/5 , FGIII-8/9/10 , FGIV-13/14/16</t>
  </si>
  <si>
    <t>Kindly note that this simulator is indicative and net monthly remuneration varies, depending on the personal circumstances of the incumbent.</t>
  </si>
  <si>
    <t>v1.1_23/02/2024</t>
  </si>
  <si>
    <t>&gt; are below 6 years?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</si>
</sst>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0.00\ [$€-1];\-#,##0.00\ [$€-1]"/>
    <numFmt numFmtId="166" formatCode="[$€-2]\ #,##0.00"/>
    <numFmt numFmtId="167" formatCode="[$€-2]\ #,##0.0000"/>
    <numFmt numFmtId="168" formatCode="[$-F800]dddd\,\ mmmm\ dd\,\ yyyy"/>
    <numFmt numFmtId="169" formatCode="#,##0.00\ [$€-40C]"/>
    <numFmt numFmtId="170" formatCode="dd/mm/yyyy;@"/>
  </numFmts>
  <fonts count="51">
    <font>
      <sz val="10"/>
      <name val="Arial"/>
    </font>
    <font>
      <sz val="10"/>
      <name val="Arial"/>
      <family val="2"/>
    </font>
    <font>
      <sz val="8"/>
      <name val="Arial"/>
      <family val="2"/>
    </font>
    <font>
      <sz val="10"/>
      <name val="Roboto"/>
    </font>
    <font>
      <b/>
      <sz val="10"/>
      <color theme="0"/>
      <name val="Roboto"/>
    </font>
    <font>
      <b/>
      <sz val="10"/>
      <name val="Roboto"/>
    </font>
    <font>
      <b/>
      <sz val="11"/>
      <name val="Roboto"/>
    </font>
    <font>
      <sz val="9"/>
      <name val="Roboto"/>
    </font>
    <font>
      <sz val="8"/>
      <color indexed="81"/>
      <name val="Tahoma"/>
      <family val="2"/>
    </font>
    <font>
      <sz val="8"/>
      <color rgb="FF000000"/>
      <name val="Segoe UI"/>
      <family val="2"/>
    </font>
    <font>
      <sz val="8"/>
      <color rgb="FF004494"/>
      <name val="Microsoft Sans Serif"/>
      <family val="2"/>
    </font>
    <font>
      <sz val="10"/>
      <name val="Microsoft Sans Serif"/>
      <family val="2"/>
    </font>
    <font>
      <sz val="9"/>
      <name val="Microsoft Sans Serif"/>
      <family val="2"/>
    </font>
    <font>
      <sz val="8"/>
      <name val="Microsoft Sans Serif"/>
      <family val="2"/>
    </font>
    <font>
      <sz val="10"/>
      <color theme="0"/>
      <name val="Roboto"/>
    </font>
    <font>
      <b/>
      <sz val="22"/>
      <color theme="0"/>
      <name val="Roboto"/>
    </font>
    <font>
      <b/>
      <sz val="16"/>
      <color theme="0"/>
      <name val="Roboto"/>
    </font>
    <font>
      <b/>
      <sz val="8"/>
      <color rgb="FF004494"/>
      <name val="Microsoft Sans Serif"/>
      <family val="2"/>
    </font>
    <font>
      <b/>
      <sz val="8"/>
      <name val="Microsoft Sans Serif"/>
      <family val="2"/>
    </font>
    <font>
      <sz val="8"/>
      <color indexed="8"/>
      <name val="Microsoft Sans Serif"/>
      <family val="2"/>
    </font>
    <font>
      <b/>
      <sz val="8"/>
      <color theme="0"/>
      <name val="Microsoft Sans Serif"/>
      <family val="2"/>
    </font>
    <font>
      <b/>
      <sz val="8"/>
      <color indexed="8"/>
      <name val="Microsoft Sans Serif"/>
      <family val="2"/>
    </font>
    <font>
      <sz val="9"/>
      <color theme="0"/>
      <name val="Microsoft Sans Serif"/>
      <family val="2"/>
    </font>
    <font>
      <b/>
      <sz val="12"/>
      <color theme="0"/>
      <name val="Roboto"/>
    </font>
    <font>
      <sz val="8"/>
      <name val="Roboto"/>
    </font>
    <font>
      <sz val="10"/>
      <color rgb="FFFF0000"/>
      <name val="Arial"/>
      <family val="2"/>
    </font>
    <font>
      <b/>
      <sz val="8"/>
      <color rgb="FF000000"/>
      <name val="Microsoft Sans Serif"/>
      <family val="2"/>
    </font>
    <font>
      <b/>
      <sz val="20"/>
      <color theme="0"/>
      <name val="Roboto"/>
    </font>
    <font>
      <b/>
      <sz val="8"/>
      <color theme="0"/>
      <name val="Arial"/>
      <family val="2"/>
    </font>
    <font>
      <vertAlign val="superscript"/>
      <sz val="8"/>
      <name val="Arial"/>
      <family val="2"/>
    </font>
    <font>
      <b/>
      <sz val="8"/>
      <name val="Arial"/>
      <family val="2"/>
    </font>
    <font>
      <b/>
      <sz val="12"/>
      <color rgb="FFFFFF00"/>
      <name val="Roboto"/>
    </font>
    <font>
      <b/>
      <vertAlign val="superscript"/>
      <sz val="8"/>
      <name val="Arial"/>
      <family val="2"/>
    </font>
    <font>
      <sz val="10"/>
      <color theme="0" tint="-0.34998626667073579"/>
      <name val="Roboto"/>
    </font>
    <font>
      <b/>
      <sz val="8"/>
      <color rgb="FFFF0000"/>
      <name val="Arial"/>
      <family val="2"/>
    </font>
    <font>
      <b/>
      <sz val="9"/>
      <color rgb="FFFF0000"/>
      <name val="Arial Narrow"/>
      <family val="2"/>
    </font>
    <font>
      <b/>
      <sz val="8"/>
      <color rgb="FFFF0000"/>
      <name val="Arial Narrow"/>
      <family val="2"/>
    </font>
    <font>
      <i/>
      <sz val="8"/>
      <color theme="0" tint="-0.499984740745262"/>
      <name val="Microsoft Sans Serif"/>
      <family val="2"/>
    </font>
    <font>
      <sz val="6"/>
      <color theme="0" tint="-0.499984740745262"/>
      <name val="Microsoft Sans Serif"/>
      <family val="2"/>
    </font>
    <font>
      <sz val="11"/>
      <name val="Calibri"/>
      <family val="2"/>
      <scheme val="minor"/>
    </font>
    <font>
      <b/>
      <sz val="11"/>
      <name val="Calibri"/>
      <family val="2"/>
      <scheme val="minor"/>
    </font>
    <font>
      <sz val="11"/>
      <color rgb="FFFF0000"/>
      <name val="Calibri"/>
      <family val="2"/>
      <scheme val="minor"/>
    </font>
    <font>
      <b/>
      <sz val="10"/>
      <color theme="0"/>
      <name val="Microsoft Sans Serif"/>
      <family val="2"/>
    </font>
    <font>
      <i/>
      <sz val="8"/>
      <name val="Microsoft Sans Serif"/>
      <family val="2"/>
    </font>
    <font>
      <i/>
      <sz val="10"/>
      <name val="Roboto"/>
    </font>
    <font>
      <b/>
      <i/>
      <sz val="9"/>
      <color rgb="FFFF0000"/>
      <name val="Arial Narrow"/>
      <family val="2"/>
    </font>
    <font>
      <sz val="8"/>
      <color theme="0" tint="-0.499984740745262"/>
      <name val="Microsoft Sans Serif"/>
      <family val="2"/>
    </font>
    <font>
      <b/>
      <sz val="8"/>
      <color rgb="FFFF0000"/>
      <name val="Arial Black"/>
      <family val="2"/>
    </font>
    <font>
      <b/>
      <sz val="26"/>
      <color rgb="FFFFFF00"/>
      <name val="Roboto"/>
    </font>
    <font>
      <b/>
      <sz val="26"/>
      <color theme="0"/>
      <name val="Roboto"/>
    </font>
    <font>
      <sz val="10"/>
      <color rgb="FFFFFF00"/>
      <name val="Roboto"/>
    </font>
  </fonts>
  <fills count="20">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004494"/>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249977111117893"/>
        <bgColor indexed="64"/>
      </patternFill>
    </fill>
    <fill>
      <patternFill patternType="solid">
        <fgColor theme="0" tint="-0.499984740745262"/>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6" tint="0.79998168889431442"/>
        <bgColor indexed="64"/>
      </patternFill>
    </fill>
  </fills>
  <borders count="72">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double">
        <color indexed="64"/>
      </bottom>
      <diagonal/>
    </border>
    <border>
      <left style="thin">
        <color theme="0" tint="-0.24994659260841701"/>
      </left>
      <right style="thin">
        <color theme="0" tint="-0.24994659260841701"/>
      </right>
      <top/>
      <bottom/>
      <diagonal/>
    </border>
    <border>
      <left style="thin">
        <color theme="0"/>
      </left>
      <right style="thin">
        <color theme="0"/>
      </right>
      <top style="thin">
        <color theme="0"/>
      </top>
      <bottom style="thin">
        <color theme="0"/>
      </bottom>
      <diagonal/>
    </border>
    <border>
      <left/>
      <right style="thin">
        <color theme="0" tint="-0.24994659260841701"/>
      </right>
      <top style="thin">
        <color theme="0" tint="-0.24994659260841701"/>
      </top>
      <bottom style="double">
        <color indexed="64"/>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double">
        <color indexed="64"/>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indexed="64"/>
      </left>
      <right style="thin">
        <color indexed="64"/>
      </right>
      <top style="thin">
        <color indexed="64"/>
      </top>
      <bottom style="thin">
        <color indexed="64"/>
      </bottom>
      <diagonal/>
    </border>
    <border>
      <left/>
      <right style="thin">
        <color theme="0" tint="-0.24994659260841701"/>
      </right>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right/>
      <top style="hair">
        <color theme="0" tint="-0.24994659260841701"/>
      </top>
      <bottom style="medium">
        <color theme="0" tint="-0.24994659260841701"/>
      </bottom>
      <diagonal/>
    </border>
    <border>
      <left/>
      <right/>
      <top style="thin">
        <color theme="0" tint="-0.24994659260841701"/>
      </top>
      <bottom/>
      <diagonal/>
    </border>
    <border>
      <left style="thin">
        <color theme="0" tint="-0.24994659260841701"/>
      </left>
      <right/>
      <top/>
      <bottom/>
      <diagonal/>
    </border>
    <border>
      <left/>
      <right/>
      <top/>
      <bottom style="thin">
        <color theme="0" tint="-0.24994659260841701"/>
      </bottom>
      <diagonal/>
    </border>
    <border>
      <left style="thin">
        <color rgb="FF004494"/>
      </left>
      <right/>
      <top style="thin">
        <color rgb="FF004494"/>
      </top>
      <bottom/>
      <diagonal/>
    </border>
    <border>
      <left/>
      <right/>
      <top style="thin">
        <color rgb="FF004494"/>
      </top>
      <bottom/>
      <diagonal/>
    </border>
    <border>
      <left/>
      <right style="thin">
        <color rgb="FF004494"/>
      </right>
      <top style="thin">
        <color rgb="FF004494"/>
      </top>
      <bottom/>
      <diagonal/>
    </border>
    <border>
      <left style="thin">
        <color rgb="FF004494"/>
      </left>
      <right/>
      <top/>
      <bottom/>
      <diagonal/>
    </border>
    <border>
      <left/>
      <right style="thin">
        <color rgb="FF004494"/>
      </right>
      <top/>
      <bottom/>
      <diagonal/>
    </border>
    <border>
      <left style="thin">
        <color rgb="FF004494"/>
      </left>
      <right/>
      <top/>
      <bottom style="thin">
        <color rgb="FF004494"/>
      </bottom>
      <diagonal/>
    </border>
    <border>
      <left/>
      <right/>
      <top/>
      <bottom style="thin">
        <color rgb="FF004494"/>
      </bottom>
      <diagonal/>
    </border>
    <border>
      <left/>
      <right style="thin">
        <color rgb="FF004494"/>
      </right>
      <top/>
      <bottom style="thin">
        <color rgb="FF004494"/>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right/>
      <top/>
      <bottom style="hair">
        <color auto="1"/>
      </bottom>
      <diagonal/>
    </border>
    <border>
      <left style="thin">
        <color rgb="FF00B050"/>
      </left>
      <right style="thin">
        <color rgb="FF00B050"/>
      </right>
      <top style="thin">
        <color rgb="FF00B050"/>
      </top>
      <bottom style="thin">
        <color rgb="FF00B050"/>
      </bottom>
      <diagonal/>
    </border>
    <border>
      <left/>
      <right style="thin">
        <color theme="0"/>
      </right>
      <top style="thin">
        <color theme="0"/>
      </top>
      <bottom style="thin">
        <color theme="0"/>
      </bottom>
      <diagonal/>
    </border>
    <border>
      <left style="thin">
        <color theme="0"/>
      </left>
      <right style="thick">
        <color theme="1"/>
      </right>
      <top style="thin">
        <color theme="0"/>
      </top>
      <bottom style="thin">
        <color theme="0"/>
      </bottom>
      <diagonal/>
    </border>
    <border>
      <left style="thin">
        <color theme="0" tint="-0.24994659260841701"/>
      </left>
      <right style="thick">
        <color theme="1"/>
      </right>
      <top/>
      <bottom style="thin">
        <color theme="0" tint="-0.24994659260841701"/>
      </bottom>
      <diagonal/>
    </border>
    <border>
      <left style="thin">
        <color theme="0" tint="-0.24994659260841701"/>
      </left>
      <right style="thick">
        <color theme="1"/>
      </right>
      <top style="thin">
        <color theme="0" tint="-0.24994659260841701"/>
      </top>
      <bottom style="thin">
        <color theme="0" tint="-0.24994659260841701"/>
      </bottom>
      <diagonal/>
    </border>
    <border>
      <left style="thick">
        <color theme="0" tint="-0.24994659260841701"/>
      </left>
      <right/>
      <top/>
      <bottom/>
      <diagonal/>
    </border>
    <border>
      <left/>
      <right style="thick">
        <color theme="0" tint="-0.24994659260841701"/>
      </right>
      <top/>
      <bottom/>
      <diagonal/>
    </border>
    <border>
      <left style="thick">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ck">
        <color theme="0" tint="-0.24994659260841701"/>
      </right>
      <top style="thin">
        <color theme="0" tint="-0.24994659260841701"/>
      </top>
      <bottom style="thin">
        <color theme="0" tint="-0.24994659260841701"/>
      </bottom>
      <diagonal/>
    </border>
    <border>
      <left style="thin">
        <color theme="0" tint="-0.24994659260841701"/>
      </left>
      <right style="thin">
        <color theme="0"/>
      </right>
      <top style="thin">
        <color theme="0"/>
      </top>
      <bottom style="thin">
        <color theme="0"/>
      </bottom>
      <diagonal/>
    </border>
    <border>
      <left style="thin">
        <color theme="0" tint="-0.14996795556505021"/>
      </left>
      <right style="thin">
        <color theme="0" tint="-0.14996795556505021"/>
      </right>
      <top style="thin">
        <color theme="0" tint="-0.24994659260841701"/>
      </top>
      <bottom style="thin">
        <color theme="0" tint="-0.14996795556505021"/>
      </bottom>
      <diagonal/>
    </border>
    <border>
      <left style="thin">
        <color theme="0" tint="-0.14996795556505021"/>
      </left>
      <right/>
      <top style="thin">
        <color theme="0" tint="-0.2499465926084170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double">
        <color indexed="64"/>
      </bottom>
      <diagonal/>
    </border>
    <border>
      <left style="thin">
        <color theme="0" tint="-0.14996795556505021"/>
      </left>
      <right/>
      <top style="thin">
        <color theme="0" tint="-0.14996795556505021"/>
      </top>
      <bottom style="double">
        <color indexed="64"/>
      </bottom>
      <diagonal/>
    </border>
    <border>
      <left style="thin">
        <color theme="0" tint="-0.14996795556505021"/>
      </left>
      <right style="thin">
        <color theme="0" tint="-0.14996795556505021"/>
      </right>
      <top style="double">
        <color indexed="64"/>
      </top>
      <bottom style="thin">
        <color theme="0" tint="-0.14996795556505021"/>
      </bottom>
      <diagonal/>
    </border>
    <border>
      <left style="thin">
        <color theme="0" tint="-0.14996795556505021"/>
      </left>
      <right/>
      <top style="double">
        <color indexed="64"/>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2499465926084170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top style="thin">
        <color theme="0" tint="-0.14996795556505021"/>
      </top>
      <bottom/>
      <diagonal/>
    </border>
    <border>
      <left/>
      <right/>
      <top style="medium">
        <color theme="0" tint="-0.24994659260841701"/>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bottom style="hair">
        <color theme="0" tint="-0.34998626667073579"/>
      </bottom>
      <diagonal/>
    </border>
    <border>
      <left/>
      <right/>
      <top style="hair">
        <color theme="0" tint="-0.34998626667073579"/>
      </top>
      <bottom style="hair">
        <color theme="0" tint="-0.34998626667073579"/>
      </bottom>
      <diagonal/>
    </border>
    <border>
      <left/>
      <right/>
      <top style="hair">
        <color theme="0" tint="-0.34998626667073579"/>
      </top>
      <bottom/>
      <diagonal/>
    </border>
    <border>
      <left/>
      <right/>
      <top/>
      <bottom style="medium">
        <color theme="0" tint="-0.24994659260841701"/>
      </bottom>
      <diagonal/>
    </border>
    <border>
      <left style="medium">
        <color theme="0" tint="-0.1498458815271462"/>
      </left>
      <right style="medium">
        <color theme="0" tint="-0.1498458815271462"/>
      </right>
      <top style="medium">
        <color theme="0" tint="-0.1498458815271462"/>
      </top>
      <bottom/>
      <diagonal/>
    </border>
    <border>
      <left style="medium">
        <color theme="0" tint="-0.1498458815271462"/>
      </left>
      <right style="medium">
        <color theme="0" tint="-0.1498458815271462"/>
      </right>
      <top/>
      <bottom style="medium">
        <color theme="0" tint="-0.1498458815271462"/>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438">
    <xf numFmtId="0" fontId="0" fillId="0" borderId="0" xfId="0"/>
    <xf numFmtId="0" fontId="3" fillId="0" borderId="0" xfId="0" applyFont="1"/>
    <xf numFmtId="0" fontId="3" fillId="0" borderId="0" xfId="0" applyFont="1" applyAlignment="1">
      <alignment horizontal="center"/>
    </xf>
    <xf numFmtId="10" fontId="3" fillId="0" borderId="0" xfId="2" applyNumberFormat="1" applyFont="1"/>
    <xf numFmtId="0" fontId="5" fillId="7" borderId="1" xfId="0" applyFont="1" applyFill="1" applyBorder="1" applyAlignment="1">
      <alignment horizontal="center"/>
    </xf>
    <xf numFmtId="0" fontId="3" fillId="0" borderId="0" xfId="0" applyFont="1" applyAlignment="1">
      <alignment horizontal="left" indent="1"/>
    </xf>
    <xf numFmtId="14" fontId="5" fillId="7" borderId="1" xfId="0" applyNumberFormat="1" applyFont="1" applyFill="1" applyBorder="1" applyAlignment="1">
      <alignment horizontal="center"/>
    </xf>
    <xf numFmtId="0" fontId="3" fillId="0" borderId="1" xfId="0" applyFont="1" applyBorder="1"/>
    <xf numFmtId="10" fontId="3" fillId="0" borderId="1" xfId="2" applyNumberFormat="1" applyFont="1" applyBorder="1" applyAlignment="1">
      <alignment horizontal="center"/>
    </xf>
    <xf numFmtId="0" fontId="3" fillId="0" borderId="1" xfId="0" applyFont="1" applyBorder="1" applyAlignment="1">
      <alignment horizontal="center" vertical="center"/>
    </xf>
    <xf numFmtId="10" fontId="5" fillId="2" borderId="1" xfId="2" applyNumberFormat="1" applyFont="1" applyFill="1" applyBorder="1" applyAlignment="1">
      <alignment horizontal="center"/>
    </xf>
    <xf numFmtId="14" fontId="5" fillId="7" borderId="1" xfId="0" applyNumberFormat="1" applyFont="1" applyFill="1" applyBorder="1" applyAlignment="1">
      <alignment horizontal="center" vertical="center"/>
    </xf>
    <xf numFmtId="166" fontId="3" fillId="0" borderId="0" xfId="0" applyNumberFormat="1" applyFont="1" applyBorder="1" applyAlignment="1">
      <alignment horizontal="right"/>
    </xf>
    <xf numFmtId="0" fontId="6" fillId="0" borderId="0" xfId="0" applyFont="1" applyAlignment="1">
      <alignment horizontal="centerContinuous"/>
    </xf>
    <xf numFmtId="0" fontId="3" fillId="0" borderId="0" xfId="0" applyFont="1" applyAlignment="1">
      <alignment horizontal="centerContinuous"/>
    </xf>
    <xf numFmtId="0" fontId="3" fillId="0" borderId="0" xfId="0" applyFont="1" applyAlignment="1">
      <alignment horizontal="left"/>
    </xf>
    <xf numFmtId="0" fontId="4" fillId="8" borderId="0" xfId="0" applyFont="1" applyFill="1" applyAlignment="1">
      <alignment horizontal="center" vertical="center"/>
    </xf>
    <xf numFmtId="0" fontId="7" fillId="0" borderId="0" xfId="0" applyFont="1"/>
    <xf numFmtId="0" fontId="4" fillId="8" borderId="0" xfId="0" applyFont="1" applyFill="1" applyAlignment="1">
      <alignment horizontal="center" vertical="center" wrapText="1"/>
    </xf>
    <xf numFmtId="49" fontId="5" fillId="7" borderId="1" xfId="0" applyNumberFormat="1" applyFont="1" applyFill="1" applyBorder="1" applyAlignment="1">
      <alignment horizontal="center"/>
    </xf>
    <xf numFmtId="49" fontId="5" fillId="7" borderId="11" xfId="0" applyNumberFormat="1" applyFont="1" applyFill="1" applyBorder="1" applyAlignment="1">
      <alignment horizontal="center" vertical="center"/>
    </xf>
    <xf numFmtId="49" fontId="5" fillId="7" borderId="8" xfId="0" applyNumberFormat="1" applyFont="1" applyFill="1" applyBorder="1" applyAlignment="1">
      <alignment horizontal="center" vertical="center"/>
    </xf>
    <xf numFmtId="0" fontId="5" fillId="2" borderId="1" xfId="0" applyFont="1" applyFill="1" applyBorder="1"/>
    <xf numFmtId="49" fontId="5" fillId="7" borderId="8" xfId="0" applyNumberFormat="1" applyFont="1" applyFill="1" applyBorder="1" applyAlignment="1">
      <alignment horizontal="center"/>
    </xf>
    <xf numFmtId="166" fontId="3" fillId="0" borderId="0" xfId="0" applyNumberFormat="1" applyFont="1" applyFill="1" applyBorder="1" applyAlignment="1">
      <alignment horizontal="right"/>
    </xf>
    <xf numFmtId="49" fontId="5" fillId="7" borderId="17" xfId="0" applyNumberFormat="1" applyFont="1" applyFill="1" applyBorder="1" applyAlignment="1">
      <alignment horizontal="center"/>
    </xf>
    <xf numFmtId="10" fontId="3" fillId="0" borderId="1" xfId="0" applyNumberFormat="1" applyFont="1" applyBorder="1" applyAlignment="1">
      <alignment horizontal="center" vertical="center"/>
    </xf>
    <xf numFmtId="0" fontId="18" fillId="9" borderId="1" xfId="0" applyFont="1" applyFill="1" applyBorder="1" applyAlignment="1">
      <alignment horizontal="center" vertical="center"/>
    </xf>
    <xf numFmtId="0" fontId="18" fillId="7" borderId="1" xfId="0" applyFont="1" applyFill="1" applyBorder="1" applyAlignment="1">
      <alignment horizontal="center" vertical="center"/>
    </xf>
    <xf numFmtId="0" fontId="18" fillId="9" borderId="1" xfId="0" quotePrefix="1" applyNumberFormat="1" applyFont="1" applyFill="1" applyBorder="1" applyAlignment="1">
      <alignment horizontal="center" vertical="center"/>
    </xf>
    <xf numFmtId="0" fontId="18" fillId="7" borderId="1" xfId="0" quotePrefix="1" applyFont="1" applyFill="1" applyBorder="1" applyAlignment="1">
      <alignment horizontal="center" vertical="center"/>
    </xf>
    <xf numFmtId="165" fontId="19" fillId="0" borderId="1" xfId="1" applyNumberFormat="1" applyFont="1" applyFill="1" applyBorder="1" applyAlignment="1">
      <alignment horizontal="right" vertical="center"/>
    </xf>
    <xf numFmtId="0" fontId="13" fillId="0" borderId="0" xfId="0" applyFont="1" applyBorder="1" applyAlignment="1">
      <alignment vertical="center"/>
    </xf>
    <xf numFmtId="0" fontId="13" fillId="0" borderId="0" xfId="0" applyFont="1" applyBorder="1" applyAlignment="1">
      <alignment horizontal="right" vertical="center"/>
    </xf>
    <xf numFmtId="0" fontId="18" fillId="0" borderId="0" xfId="0" applyFont="1" applyAlignment="1">
      <alignment vertical="top"/>
    </xf>
    <xf numFmtId="0" fontId="13" fillId="0" borderId="0" xfId="0" applyFont="1"/>
    <xf numFmtId="0" fontId="13" fillId="2" borderId="16" xfId="0" applyFont="1" applyFill="1" applyBorder="1"/>
    <xf numFmtId="0" fontId="20" fillId="5" borderId="0" xfId="0" applyFont="1" applyFill="1" applyAlignment="1">
      <alignment horizontal="centerContinuous" vertical="center"/>
    </xf>
    <xf numFmtId="0" fontId="13" fillId="5" borderId="0" xfId="0" applyFont="1" applyFill="1" applyAlignment="1">
      <alignment horizontal="centerContinuous" vertical="center"/>
    </xf>
    <xf numFmtId="0" fontId="13" fillId="0" borderId="0" xfId="0" applyFont="1" applyAlignment="1">
      <alignment vertical="center"/>
    </xf>
    <xf numFmtId="0" fontId="13" fillId="4" borderId="0" xfId="0" applyFont="1" applyFill="1" applyAlignment="1">
      <alignment horizontal="center" vertical="top" wrapText="1"/>
    </xf>
    <xf numFmtId="0" fontId="13" fillId="0" borderId="0" xfId="0" applyFont="1" applyAlignment="1">
      <alignment vertical="top" wrapText="1"/>
    </xf>
    <xf numFmtId="2" fontId="13" fillId="0" borderId="0" xfId="1" applyNumberFormat="1" applyFont="1" applyAlignment="1">
      <alignment horizontal="right"/>
    </xf>
    <xf numFmtId="2" fontId="13" fillId="0" borderId="0" xfId="0" applyNumberFormat="1" applyFont="1" applyAlignment="1">
      <alignment horizontal="right"/>
    </xf>
    <xf numFmtId="10" fontId="13" fillId="0" borderId="0" xfId="2" applyNumberFormat="1" applyFont="1" applyAlignment="1">
      <alignment horizontal="right"/>
    </xf>
    <xf numFmtId="0" fontId="18" fillId="3" borderId="0" xfId="0" applyFont="1" applyFill="1" applyBorder="1" applyAlignment="1">
      <alignment horizontal="right" vertical="center"/>
    </xf>
    <xf numFmtId="165" fontId="21" fillId="3" borderId="0" xfId="1" applyNumberFormat="1" applyFont="1" applyFill="1" applyBorder="1" applyAlignment="1">
      <alignment horizontal="right" vertical="center"/>
    </xf>
    <xf numFmtId="0" fontId="13" fillId="4" borderId="0" xfId="0" applyFont="1" applyFill="1" applyBorder="1" applyAlignment="1">
      <alignment horizontal="right" vertical="center"/>
    </xf>
    <xf numFmtId="165" fontId="19" fillId="0" borderId="0" xfId="1" applyNumberFormat="1" applyFont="1" applyFill="1" applyBorder="1" applyAlignment="1">
      <alignment horizontal="right" vertical="center"/>
    </xf>
    <xf numFmtId="0" fontId="13" fillId="0" borderId="0" xfId="0" quotePrefix="1" applyFont="1" applyAlignment="1">
      <alignment horizontal="left"/>
    </xf>
    <xf numFmtId="10" fontId="19" fillId="0" borderId="0" xfId="2" applyNumberFormat="1" applyFont="1" applyFill="1" applyBorder="1" applyAlignment="1">
      <alignment horizontal="right" vertical="center"/>
    </xf>
    <xf numFmtId="2" fontId="13" fillId="0" borderId="0" xfId="0" applyNumberFormat="1" applyFont="1"/>
    <xf numFmtId="0" fontId="13" fillId="0" borderId="0" xfId="0" applyFont="1" applyAlignment="1">
      <alignment horizontal="right"/>
    </xf>
    <xf numFmtId="0" fontId="13" fillId="0" borderId="0" xfId="0" applyFont="1" applyAlignment="1">
      <alignment wrapText="1"/>
    </xf>
    <xf numFmtId="0" fontId="18" fillId="6" borderId="0" xfId="0" applyFont="1" applyFill="1" applyBorder="1" applyAlignment="1">
      <alignment horizontal="center" vertical="center"/>
    </xf>
    <xf numFmtId="2" fontId="13" fillId="0" borderId="0" xfId="0" applyNumberFormat="1" applyFont="1" applyFill="1" applyAlignment="1">
      <alignment horizontal="right"/>
    </xf>
    <xf numFmtId="10" fontId="13" fillId="0" borderId="0" xfId="2" applyNumberFormat="1" applyFont="1" applyFill="1" applyAlignment="1">
      <alignment horizontal="right"/>
    </xf>
    <xf numFmtId="0" fontId="2" fillId="0" borderId="0" xfId="0" applyFont="1"/>
    <xf numFmtId="0" fontId="2" fillId="0" borderId="0" xfId="0" applyFont="1" applyAlignment="1">
      <alignment horizontal="left"/>
    </xf>
    <xf numFmtId="0" fontId="2" fillId="0" borderId="2" xfId="0" applyFont="1" applyBorder="1"/>
    <xf numFmtId="166" fontId="2" fillId="0" borderId="2" xfId="0" applyNumberFormat="1" applyFont="1" applyBorder="1" applyAlignment="1">
      <alignment horizontal="left"/>
    </xf>
    <xf numFmtId="0" fontId="2" fillId="0" borderId="1" xfId="0" applyFont="1" applyBorder="1"/>
    <xf numFmtId="166" fontId="2" fillId="0" borderId="1" xfId="0" applyNumberFormat="1" applyFont="1" applyBorder="1" applyAlignment="1">
      <alignment horizontal="left"/>
    </xf>
    <xf numFmtId="167" fontId="2" fillId="0" borderId="6" xfId="0" applyNumberFormat="1" applyFont="1" applyBorder="1" applyAlignment="1">
      <alignment wrapText="1"/>
    </xf>
    <xf numFmtId="167" fontId="2" fillId="0" borderId="8" xfId="0" applyNumberFormat="1" applyFont="1" applyBorder="1" applyAlignment="1"/>
    <xf numFmtId="167" fontId="2" fillId="0" borderId="6" xfId="0" applyNumberFormat="1" applyFont="1" applyBorder="1" applyAlignment="1">
      <alignment horizontal="left"/>
    </xf>
    <xf numFmtId="167" fontId="2" fillId="0" borderId="8" xfId="0" applyNumberFormat="1" applyFont="1" applyBorder="1" applyAlignment="1">
      <alignment horizontal="left"/>
    </xf>
    <xf numFmtId="167" fontId="2" fillId="0" borderId="8" xfId="0" applyNumberFormat="1" applyFont="1" applyBorder="1" applyAlignment="1">
      <alignment horizontal="left" wrapText="1"/>
    </xf>
    <xf numFmtId="167" fontId="2" fillId="0" borderId="2" xfId="0" applyNumberFormat="1" applyFont="1" applyBorder="1" applyAlignment="1">
      <alignment horizontal="left"/>
    </xf>
    <xf numFmtId="166" fontId="2" fillId="0" borderId="6" xfId="0" applyNumberFormat="1" applyFont="1" applyBorder="1" applyAlignment="1">
      <alignment horizontal="left" wrapText="1"/>
    </xf>
    <xf numFmtId="166" fontId="2" fillId="0" borderId="6" xfId="0" applyNumberFormat="1" applyFont="1" applyBorder="1" applyAlignment="1">
      <alignment horizontal="left"/>
    </xf>
    <xf numFmtId="0" fontId="2" fillId="0" borderId="1" xfId="0" applyNumberFormat="1" applyFont="1" applyBorder="1" applyAlignment="1">
      <alignment horizontal="left"/>
    </xf>
    <xf numFmtId="0" fontId="2" fillId="0" borderId="0" xfId="0" applyFont="1" applyAlignment="1">
      <alignment horizontal="right"/>
    </xf>
    <xf numFmtId="165" fontId="13" fillId="0" borderId="0" xfId="0" applyNumberFormat="1" applyFont="1"/>
    <xf numFmtId="2" fontId="13" fillId="0" borderId="33" xfId="0" applyNumberFormat="1" applyFont="1" applyBorder="1"/>
    <xf numFmtId="2" fontId="13" fillId="0" borderId="33" xfId="0" applyNumberFormat="1" applyFont="1" applyBorder="1" applyAlignment="1">
      <alignment horizontal="right"/>
    </xf>
    <xf numFmtId="0" fontId="13" fillId="4" borderId="0" xfId="0" applyFont="1" applyFill="1"/>
    <xf numFmtId="0" fontId="13" fillId="4" borderId="33" xfId="0" applyFont="1" applyFill="1" applyBorder="1"/>
    <xf numFmtId="0" fontId="13" fillId="4" borderId="0" xfId="0" quotePrefix="1" applyFont="1" applyFill="1" applyAlignment="1">
      <alignment horizontal="left"/>
    </xf>
    <xf numFmtId="0" fontId="13" fillId="4" borderId="33" xfId="0" quotePrefix="1" applyFont="1" applyFill="1" applyBorder="1" applyAlignment="1">
      <alignment horizontal="left"/>
    </xf>
    <xf numFmtId="0" fontId="18" fillId="0" borderId="0" xfId="1" applyNumberFormat="1" applyFont="1" applyAlignment="1">
      <alignment horizontal="left"/>
    </xf>
    <xf numFmtId="0" fontId="18" fillId="0" borderId="0" xfId="0" applyNumberFormat="1" applyFont="1" applyAlignment="1">
      <alignment horizontal="left"/>
    </xf>
    <xf numFmtId="0" fontId="18" fillId="0" borderId="0" xfId="0" applyNumberFormat="1" applyFont="1" applyFill="1" applyAlignment="1">
      <alignment horizontal="left"/>
    </xf>
    <xf numFmtId="0" fontId="18" fillId="6" borderId="0" xfId="0" applyFont="1" applyFill="1" applyBorder="1" applyAlignment="1">
      <alignment vertical="center"/>
    </xf>
    <xf numFmtId="0" fontId="18" fillId="0" borderId="34" xfId="0" applyFont="1" applyFill="1" applyBorder="1" applyAlignment="1">
      <alignment horizontal="right" vertical="center"/>
    </xf>
    <xf numFmtId="165" fontId="20" fillId="8" borderId="34" xfId="1" applyNumberFormat="1" applyFont="1" applyFill="1" applyBorder="1" applyAlignment="1">
      <alignment horizontal="right" vertical="center"/>
    </xf>
    <xf numFmtId="0" fontId="20" fillId="13" borderId="0" xfId="0" applyFont="1" applyFill="1" applyBorder="1" applyAlignment="1">
      <alignment horizontal="right" vertical="center"/>
    </xf>
    <xf numFmtId="165" fontId="20" fillId="13" borderId="0" xfId="1" applyNumberFormat="1" applyFont="1" applyFill="1" applyBorder="1" applyAlignment="1">
      <alignment horizontal="right" vertical="center"/>
    </xf>
    <xf numFmtId="10" fontId="13" fillId="0" borderId="0" xfId="2" applyNumberFormat="1" applyFont="1"/>
    <xf numFmtId="0" fontId="18" fillId="7" borderId="0" xfId="0" applyFont="1" applyFill="1" applyBorder="1" applyAlignment="1">
      <alignment horizontal="right" vertical="center"/>
    </xf>
    <xf numFmtId="165" fontId="21" fillId="7" borderId="0" xfId="1" applyNumberFormat="1" applyFont="1" applyFill="1" applyBorder="1" applyAlignment="1">
      <alignment horizontal="right" vertical="center"/>
    </xf>
    <xf numFmtId="166" fontId="2" fillId="0" borderId="11" xfId="0" applyNumberFormat="1" applyFont="1" applyBorder="1" applyAlignment="1">
      <alignment horizontal="right"/>
    </xf>
    <xf numFmtId="166" fontId="2" fillId="0" borderId="5" xfId="0" applyNumberFormat="1" applyFont="1" applyBorder="1" applyAlignment="1">
      <alignment horizontal="right"/>
    </xf>
    <xf numFmtId="167" fontId="2" fillId="0" borderId="5" xfId="0" applyNumberFormat="1" applyFont="1" applyBorder="1" applyAlignment="1">
      <alignment horizontal="right"/>
    </xf>
    <xf numFmtId="0" fontId="2" fillId="0" borderId="5" xfId="0" applyNumberFormat="1" applyFont="1" applyBorder="1" applyAlignment="1">
      <alignment horizontal="right"/>
    </xf>
    <xf numFmtId="168" fontId="28" fillId="8" borderId="36" xfId="0" applyNumberFormat="1" applyFont="1" applyFill="1" applyBorder="1" applyAlignment="1">
      <alignment horizontal="centerContinuous" vertical="center" wrapText="1"/>
    </xf>
    <xf numFmtId="0" fontId="3" fillId="0" borderId="0" xfId="0" applyFont="1" applyBorder="1" applyAlignment="1">
      <alignment horizontal="center" vertical="center"/>
    </xf>
    <xf numFmtId="0" fontId="4" fillId="14" borderId="0" xfId="0" applyFont="1" applyFill="1" applyAlignment="1">
      <alignment horizontal="center" vertical="center" wrapText="1"/>
    </xf>
    <xf numFmtId="0" fontId="3" fillId="0" borderId="3" xfId="0" applyFont="1" applyBorder="1" applyAlignment="1">
      <alignment horizontal="center" vertical="center"/>
    </xf>
    <xf numFmtId="0" fontId="4" fillId="8" borderId="39" xfId="0" applyFont="1" applyFill="1" applyBorder="1" applyAlignment="1">
      <alignment horizontal="center" vertical="center" wrapText="1"/>
    </xf>
    <xf numFmtId="0" fontId="4" fillId="8" borderId="40" xfId="0" applyFont="1" applyFill="1" applyBorder="1" applyAlignment="1">
      <alignment horizontal="center" vertical="center" wrapText="1"/>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4" fillId="14" borderId="0" xfId="0" applyFont="1" applyFill="1" applyAlignment="1">
      <alignment horizontal="center" vertical="center"/>
    </xf>
    <xf numFmtId="168" fontId="28" fillId="14" borderId="35" xfId="0" applyNumberFormat="1" applyFont="1" applyFill="1" applyBorder="1" applyAlignment="1">
      <alignment horizontal="centerContinuous" vertical="center" wrapText="1"/>
    </xf>
    <xf numFmtId="168" fontId="28" fillId="15" borderId="9" xfId="0" applyNumberFormat="1" applyFont="1" applyFill="1" applyBorder="1" applyAlignment="1">
      <alignment horizontal="centerContinuous" vertical="center" wrapText="1"/>
    </xf>
    <xf numFmtId="168" fontId="28" fillId="15" borderId="0" xfId="0" applyNumberFormat="1" applyFont="1" applyFill="1" applyBorder="1" applyAlignment="1">
      <alignment horizontal="centerContinuous" vertical="center"/>
    </xf>
    <xf numFmtId="168" fontId="28" fillId="15" borderId="43" xfId="0" applyNumberFormat="1" applyFont="1" applyFill="1" applyBorder="1" applyAlignment="1">
      <alignment horizontal="centerContinuous" vertical="center" wrapText="1"/>
    </xf>
    <xf numFmtId="0" fontId="4" fillId="14" borderId="39" xfId="0" applyFont="1" applyFill="1" applyBorder="1" applyAlignment="1">
      <alignment horizontal="center" vertical="center" wrapText="1"/>
    </xf>
    <xf numFmtId="0" fontId="4" fillId="14" borderId="40" xfId="0" applyFont="1" applyFill="1" applyBorder="1" applyAlignment="1">
      <alignment horizontal="center" vertical="center" wrapText="1"/>
    </xf>
    <xf numFmtId="0" fontId="5" fillId="0" borderId="11" xfId="0" applyFont="1" applyFill="1" applyBorder="1" applyAlignment="1">
      <alignment horizontal="center"/>
    </xf>
    <xf numFmtId="0" fontId="5" fillId="0" borderId="2" xfId="0" applyFont="1" applyFill="1" applyBorder="1" applyAlignment="1">
      <alignment horizontal="center"/>
    </xf>
    <xf numFmtId="0" fontId="5" fillId="0" borderId="2" xfId="0" applyNumberFormat="1" applyFont="1" applyFill="1" applyBorder="1" applyAlignment="1">
      <alignment horizontal="center"/>
    </xf>
    <xf numFmtId="0" fontId="5" fillId="0" borderId="13" xfId="0" applyNumberFormat="1" applyFont="1" applyFill="1" applyBorder="1" applyAlignment="1">
      <alignment horizontal="center"/>
    </xf>
    <xf numFmtId="14" fontId="5" fillId="16" borderId="1" xfId="0" applyNumberFormat="1" applyFont="1" applyFill="1" applyBorder="1" applyAlignment="1">
      <alignment horizontal="center"/>
    </xf>
    <xf numFmtId="0" fontId="5" fillId="0" borderId="8" xfId="0" applyFont="1" applyFill="1" applyBorder="1" applyAlignment="1">
      <alignment horizontal="center" vertical="center"/>
    </xf>
    <xf numFmtId="0" fontId="4" fillId="15" borderId="0" xfId="0" applyFont="1" applyFill="1" applyAlignment="1">
      <alignment horizontal="center" vertical="center"/>
    </xf>
    <xf numFmtId="0" fontId="24" fillId="0" borderId="2" xfId="0" applyNumberFormat="1" applyFont="1" applyBorder="1" applyAlignment="1">
      <alignment horizontal="center"/>
    </xf>
    <xf numFmtId="0" fontId="24" fillId="0" borderId="11" xfId="0" applyNumberFormat="1" applyFont="1" applyBorder="1" applyAlignment="1">
      <alignment horizontal="center"/>
    </xf>
    <xf numFmtId="0" fontId="24" fillId="0" borderId="5" xfId="0" applyFont="1" applyBorder="1" applyAlignment="1">
      <alignment horizontal="center" vertical="center"/>
    </xf>
    <xf numFmtId="0" fontId="24" fillId="0" borderId="1" xfId="0" applyFont="1" applyBorder="1" applyAlignment="1">
      <alignment horizontal="center"/>
    </xf>
    <xf numFmtId="166" fontId="24" fillId="0" borderId="1" xfId="0" applyNumberFormat="1" applyFont="1" applyBorder="1" applyAlignment="1">
      <alignment horizontal="right"/>
    </xf>
    <xf numFmtId="166" fontId="24" fillId="0" borderId="1" xfId="0" applyNumberFormat="1" applyFont="1" applyFill="1" applyBorder="1" applyAlignment="1">
      <alignment horizontal="right"/>
    </xf>
    <xf numFmtId="166" fontId="24" fillId="0" borderId="3" xfId="0" applyNumberFormat="1" applyFont="1" applyFill="1" applyBorder="1" applyAlignment="1">
      <alignment horizontal="right"/>
    </xf>
    <xf numFmtId="0" fontId="24" fillId="0" borderId="1" xfId="0" applyNumberFormat="1" applyFont="1" applyBorder="1" applyAlignment="1">
      <alignment horizontal="center"/>
    </xf>
    <xf numFmtId="0" fontId="24" fillId="0" borderId="5" xfId="0" applyNumberFormat="1" applyFont="1" applyBorder="1" applyAlignment="1">
      <alignment horizontal="center"/>
    </xf>
    <xf numFmtId="166" fontId="24" fillId="0" borderId="3" xfId="0" applyNumberFormat="1" applyFont="1" applyBorder="1" applyAlignment="1">
      <alignment horizontal="right"/>
    </xf>
    <xf numFmtId="0" fontId="24" fillId="0" borderId="5" xfId="0" applyFont="1" applyFill="1" applyBorder="1" applyAlignment="1">
      <alignment horizontal="center" vertical="center"/>
    </xf>
    <xf numFmtId="0" fontId="24" fillId="0" borderId="10" xfId="0" applyFont="1" applyBorder="1" applyAlignment="1">
      <alignment horizontal="center"/>
    </xf>
    <xf numFmtId="0" fontId="24" fillId="0" borderId="10" xfId="0" applyNumberFormat="1" applyFont="1" applyBorder="1" applyAlignment="1">
      <alignment horizontal="center"/>
    </xf>
    <xf numFmtId="0" fontId="24" fillId="0" borderId="10" xfId="0" applyFont="1" applyFill="1" applyBorder="1" applyAlignment="1">
      <alignment horizontal="center" vertical="center"/>
    </xf>
    <xf numFmtId="0" fontId="24" fillId="0" borderId="7" xfId="0" applyFont="1" applyBorder="1" applyAlignment="1">
      <alignment horizontal="center"/>
    </xf>
    <xf numFmtId="166" fontId="24" fillId="0" borderId="7" xfId="0" applyNumberFormat="1" applyFont="1" applyBorder="1" applyAlignment="1">
      <alignment horizontal="right"/>
    </xf>
    <xf numFmtId="166" fontId="24" fillId="0" borderId="12" xfId="0" applyNumberFormat="1" applyFont="1" applyBorder="1" applyAlignment="1">
      <alignment horizontal="right"/>
    </xf>
    <xf numFmtId="0" fontId="24" fillId="0" borderId="11" xfId="0" applyFont="1" applyBorder="1" applyAlignment="1">
      <alignment horizontal="center"/>
    </xf>
    <xf numFmtId="0" fontId="24" fillId="0" borderId="11" xfId="0" applyFont="1" applyFill="1" applyBorder="1" applyAlignment="1">
      <alignment horizontal="center"/>
    </xf>
    <xf numFmtId="0" fontId="24" fillId="0" borderId="2" xfId="0" applyFont="1" applyBorder="1" applyAlignment="1">
      <alignment horizontal="center"/>
    </xf>
    <xf numFmtId="166" fontId="24" fillId="0" borderId="2" xfId="0" applyNumberFormat="1" applyFont="1" applyBorder="1" applyAlignment="1">
      <alignment horizontal="right"/>
    </xf>
    <xf numFmtId="166" fontId="24" fillId="0" borderId="13" xfId="0" applyNumberFormat="1" applyFont="1" applyBorder="1" applyAlignment="1">
      <alignment horizontal="right"/>
    </xf>
    <xf numFmtId="0" fontId="24" fillId="0" borderId="5" xfId="0" applyFont="1" applyFill="1" applyBorder="1" applyAlignment="1">
      <alignment horizontal="center"/>
    </xf>
    <xf numFmtId="0" fontId="24" fillId="0" borderId="10" xfId="0" applyFont="1" applyFill="1" applyBorder="1" applyAlignment="1">
      <alignment horizontal="center"/>
    </xf>
    <xf numFmtId="0" fontId="24" fillId="0" borderId="5" xfId="0" applyFont="1" applyBorder="1" applyAlignment="1">
      <alignment horizontal="center"/>
    </xf>
    <xf numFmtId="0" fontId="24" fillId="0" borderId="14" xfId="0" applyNumberFormat="1" applyFont="1" applyBorder="1" applyAlignment="1">
      <alignment horizontal="center"/>
    </xf>
    <xf numFmtId="0" fontId="24" fillId="0" borderId="14" xfId="0" applyFont="1" applyBorder="1" applyAlignment="1">
      <alignment horizontal="center"/>
    </xf>
    <xf numFmtId="0" fontId="24" fillId="0" borderId="6" xfId="0" applyFont="1" applyBorder="1" applyAlignment="1">
      <alignment horizontal="center"/>
    </xf>
    <xf numFmtId="0" fontId="4" fillId="15" borderId="0" xfId="0" applyFont="1" applyFill="1" applyAlignment="1">
      <alignment horizontal="center" vertical="center" wrapText="1"/>
    </xf>
    <xf numFmtId="0" fontId="30" fillId="17" borderId="1" xfId="0" applyFont="1" applyFill="1" applyBorder="1" applyAlignment="1">
      <alignment horizontal="center"/>
    </xf>
    <xf numFmtId="14" fontId="30" fillId="17" borderId="5" xfId="0" applyNumberFormat="1" applyFont="1" applyFill="1" applyBorder="1" applyAlignment="1">
      <alignment horizontal="right"/>
    </xf>
    <xf numFmtId="14" fontId="30" fillId="17" borderId="1" xfId="0" applyNumberFormat="1" applyFont="1" applyFill="1" applyBorder="1" applyAlignment="1">
      <alignment horizontal="left"/>
    </xf>
    <xf numFmtId="166" fontId="2" fillId="18" borderId="37" xfId="0" applyNumberFormat="1" applyFont="1" applyFill="1" applyBorder="1" applyAlignment="1">
      <alignment horizontal="right"/>
    </xf>
    <xf numFmtId="166" fontId="2" fillId="18" borderId="38" xfId="0" applyNumberFormat="1" applyFont="1" applyFill="1" applyBorder="1" applyAlignment="1">
      <alignment horizontal="right"/>
    </xf>
    <xf numFmtId="167" fontId="2" fillId="18" borderId="38" xfId="0" applyNumberFormat="1" applyFont="1" applyFill="1" applyBorder="1" applyAlignment="1">
      <alignment horizontal="right"/>
    </xf>
    <xf numFmtId="0" fontId="2" fillId="18" borderId="38" xfId="0" applyNumberFormat="1" applyFont="1" applyFill="1" applyBorder="1" applyAlignment="1">
      <alignment horizontal="right"/>
    </xf>
    <xf numFmtId="166" fontId="2" fillId="9" borderId="5" xfId="0" applyNumberFormat="1" applyFont="1" applyFill="1" applyBorder="1" applyAlignment="1">
      <alignment horizontal="right"/>
    </xf>
    <xf numFmtId="0" fontId="3" fillId="11" borderId="44" xfId="0" applyFont="1" applyFill="1" applyBorder="1" applyAlignment="1">
      <alignment horizontal="center"/>
    </xf>
    <xf numFmtId="166" fontId="3" fillId="11" borderId="44" xfId="0" applyNumberFormat="1" applyFont="1" applyFill="1" applyBorder="1" applyAlignment="1">
      <alignment horizontal="right"/>
    </xf>
    <xf numFmtId="166" fontId="3" fillId="11" borderId="45" xfId="0" applyNumberFormat="1" applyFont="1" applyFill="1" applyBorder="1" applyAlignment="1">
      <alignment horizontal="right"/>
    </xf>
    <xf numFmtId="0" fontId="3" fillId="11" borderId="46" xfId="0" applyFont="1" applyFill="1" applyBorder="1" applyAlignment="1">
      <alignment horizontal="center"/>
    </xf>
    <xf numFmtId="166" fontId="3" fillId="11" borderId="46" xfId="0" applyNumberFormat="1" applyFont="1" applyFill="1" applyBorder="1" applyAlignment="1">
      <alignment horizontal="right"/>
    </xf>
    <xf numFmtId="166" fontId="3" fillId="11" borderId="47" xfId="0" applyNumberFormat="1" applyFont="1" applyFill="1" applyBorder="1" applyAlignment="1">
      <alignment horizontal="right"/>
    </xf>
    <xf numFmtId="0" fontId="3" fillId="11" borderId="48" xfId="0" applyFont="1" applyFill="1" applyBorder="1" applyAlignment="1">
      <alignment horizontal="center"/>
    </xf>
    <xf numFmtId="166" fontId="3" fillId="11" borderId="48" xfId="0" applyNumberFormat="1" applyFont="1" applyFill="1" applyBorder="1" applyAlignment="1">
      <alignment horizontal="right"/>
    </xf>
    <xf numFmtId="166" fontId="3" fillId="11" borderId="49" xfId="0" applyNumberFormat="1" applyFont="1" applyFill="1" applyBorder="1" applyAlignment="1">
      <alignment horizontal="right"/>
    </xf>
    <xf numFmtId="0" fontId="3" fillId="11" borderId="50" xfId="0" applyFont="1" applyFill="1" applyBorder="1" applyAlignment="1">
      <alignment horizontal="center"/>
    </xf>
    <xf numFmtId="166" fontId="3" fillId="11" borderId="50" xfId="0" applyNumberFormat="1" applyFont="1" applyFill="1" applyBorder="1" applyAlignment="1">
      <alignment horizontal="right"/>
    </xf>
    <xf numFmtId="166" fontId="3" fillId="11" borderId="51" xfId="0" applyNumberFormat="1" applyFont="1" applyFill="1" applyBorder="1" applyAlignment="1">
      <alignment horizontal="right"/>
    </xf>
    <xf numFmtId="0" fontId="3" fillId="11" borderId="52" xfId="0" applyFont="1" applyFill="1" applyBorder="1" applyAlignment="1">
      <alignment horizontal="center"/>
    </xf>
    <xf numFmtId="166" fontId="3" fillId="11" borderId="52" xfId="0" applyNumberFormat="1" applyFont="1" applyFill="1" applyBorder="1" applyAlignment="1">
      <alignment horizontal="right"/>
    </xf>
    <xf numFmtId="166" fontId="3" fillId="11" borderId="53" xfId="0" applyNumberFormat="1" applyFont="1" applyFill="1" applyBorder="1" applyAlignment="1">
      <alignment horizontal="right"/>
    </xf>
    <xf numFmtId="0" fontId="3" fillId="11" borderId="54" xfId="0" applyFont="1" applyFill="1" applyBorder="1" applyAlignment="1">
      <alignment horizontal="center"/>
    </xf>
    <xf numFmtId="0" fontId="3" fillId="11" borderId="55" xfId="0" applyFont="1" applyFill="1" applyBorder="1" applyAlignment="1">
      <alignment horizontal="center"/>
    </xf>
    <xf numFmtId="166" fontId="3" fillId="11" borderId="55" xfId="0" applyNumberFormat="1" applyFont="1" applyFill="1" applyBorder="1" applyAlignment="1">
      <alignment horizontal="right"/>
    </xf>
    <xf numFmtId="166" fontId="3" fillId="11" borderId="56" xfId="0" applyNumberFormat="1" applyFont="1" applyFill="1" applyBorder="1" applyAlignment="1">
      <alignment horizontal="right"/>
    </xf>
    <xf numFmtId="4" fontId="3" fillId="0" borderId="0" xfId="0" applyNumberFormat="1" applyFont="1"/>
    <xf numFmtId="14" fontId="3" fillId="0" borderId="0" xfId="0" applyNumberFormat="1" applyFont="1" applyBorder="1" applyAlignment="1">
      <alignment horizontal="right"/>
    </xf>
    <xf numFmtId="0" fontId="3" fillId="0" borderId="0" xfId="0" applyNumberFormat="1" applyFont="1" applyBorder="1" applyAlignment="1">
      <alignment horizontal="right"/>
    </xf>
    <xf numFmtId="10" fontId="33" fillId="0" borderId="1" xfId="2" applyNumberFormat="1" applyFont="1" applyBorder="1" applyAlignment="1">
      <alignment horizontal="center"/>
    </xf>
    <xf numFmtId="10" fontId="33" fillId="2" borderId="1" xfId="2" applyNumberFormat="1" applyFont="1" applyFill="1" applyBorder="1" applyAlignment="1">
      <alignment horizontal="center"/>
    </xf>
    <xf numFmtId="10" fontId="33" fillId="7" borderId="1" xfId="2" applyNumberFormat="1" applyFont="1" applyFill="1" applyBorder="1" applyAlignment="1">
      <alignment horizontal="center"/>
    </xf>
    <xf numFmtId="14" fontId="34" fillId="17" borderId="38" xfId="0" applyNumberFormat="1" applyFont="1" applyFill="1" applyBorder="1" applyAlignment="1">
      <alignment horizontal="right"/>
    </xf>
    <xf numFmtId="0" fontId="5" fillId="0" borderId="8" xfId="0" applyNumberFormat="1" applyFont="1" applyFill="1" applyBorder="1" applyAlignment="1">
      <alignment horizontal="center"/>
    </xf>
    <xf numFmtId="0" fontId="3" fillId="0" borderId="1" xfId="0" applyFont="1" applyBorder="1" applyAlignment="1">
      <alignment horizontal="left" vertical="center"/>
    </xf>
    <xf numFmtId="0" fontId="24" fillId="12" borderId="32" xfId="0" applyFont="1" applyFill="1" applyBorder="1" applyAlignment="1" applyProtection="1">
      <alignment horizontal="center"/>
      <protection locked="0"/>
    </xf>
    <xf numFmtId="0" fontId="3" fillId="0" borderId="0" xfId="0" applyFont="1" applyFill="1" applyBorder="1" applyProtection="1"/>
    <xf numFmtId="0" fontId="39" fillId="0" borderId="0" xfId="0" applyFont="1" applyAlignment="1">
      <alignment vertical="top"/>
    </xf>
    <xf numFmtId="0" fontId="40" fillId="2" borderId="0" xfId="0" applyFont="1" applyFill="1" applyAlignment="1">
      <alignment vertical="top"/>
    </xf>
    <xf numFmtId="0" fontId="39" fillId="2" borderId="0" xfId="0" applyFont="1" applyFill="1" applyAlignment="1">
      <alignment vertical="top"/>
    </xf>
    <xf numFmtId="0" fontId="41" fillId="0" borderId="0" xfId="0" applyFont="1" applyAlignment="1">
      <alignment vertical="top"/>
    </xf>
    <xf numFmtId="0" fontId="39" fillId="0" borderId="0" xfId="0" applyFont="1"/>
    <xf numFmtId="0" fontId="25" fillId="0" borderId="0" xfId="0" applyFont="1" applyProtection="1"/>
    <xf numFmtId="0" fontId="25" fillId="0" borderId="0" xfId="0" applyFont="1" applyBorder="1" applyProtection="1"/>
    <xf numFmtId="0" fontId="0" fillId="0" borderId="0" xfId="0" applyProtection="1"/>
    <xf numFmtId="0" fontId="25" fillId="0" borderId="0" xfId="0" applyFont="1" applyAlignment="1" applyProtection="1">
      <alignment horizontal="center"/>
    </xf>
    <xf numFmtId="0" fontId="1" fillId="0" borderId="0" xfId="0" applyFont="1" applyFill="1" applyAlignment="1" applyProtection="1">
      <alignment horizontal="center"/>
    </xf>
    <xf numFmtId="0" fontId="0" fillId="0" borderId="24" xfId="0" applyBorder="1" applyProtection="1"/>
    <xf numFmtId="0" fontId="0" fillId="0" borderId="25" xfId="0" applyBorder="1" applyProtection="1"/>
    <xf numFmtId="0" fontId="0" fillId="0" borderId="26" xfId="0" applyBorder="1" applyProtection="1"/>
    <xf numFmtId="0" fontId="0" fillId="0" borderId="0" xfId="0" applyAlignment="1" applyProtection="1">
      <alignment horizontal="center"/>
    </xf>
    <xf numFmtId="0" fontId="3" fillId="0" borderId="0" xfId="0" applyFont="1" applyBorder="1" applyProtection="1"/>
    <xf numFmtId="0" fontId="0" fillId="0" borderId="27" xfId="0" applyBorder="1" applyProtection="1"/>
    <xf numFmtId="0" fontId="0" fillId="0" borderId="28" xfId="0" applyBorder="1" applyProtection="1"/>
    <xf numFmtId="0" fontId="13" fillId="0" borderId="25" xfId="0" applyNumberFormat="1" applyFont="1" applyFill="1" applyBorder="1" applyAlignment="1" applyProtection="1">
      <alignment horizontal="left" vertical="top"/>
    </xf>
    <xf numFmtId="0" fontId="0" fillId="0" borderId="25" xfId="0" applyFill="1" applyBorder="1" applyProtection="1"/>
    <xf numFmtId="0" fontId="3" fillId="0" borderId="25" xfId="0" applyFont="1" applyFill="1" applyBorder="1" applyProtection="1"/>
    <xf numFmtId="0" fontId="24" fillId="12" borderId="32" xfId="0" applyFont="1" applyFill="1" applyBorder="1" applyAlignment="1" applyProtection="1">
      <alignment horizontal="center"/>
    </xf>
    <xf numFmtId="0" fontId="3" fillId="0" borderId="32" xfId="0" applyFont="1" applyFill="1" applyBorder="1" applyAlignment="1" applyProtection="1">
      <alignment horizontal="center"/>
    </xf>
    <xf numFmtId="0" fontId="3" fillId="0" borderId="27" xfId="0" applyFont="1" applyFill="1" applyBorder="1" applyProtection="1"/>
    <xf numFmtId="0" fontId="3" fillId="12" borderId="3" xfId="0" applyFont="1" applyFill="1" applyBorder="1" applyProtection="1"/>
    <xf numFmtId="0" fontId="18" fillId="12" borderId="4" xfId="0" applyNumberFormat="1" applyFont="1" applyFill="1" applyBorder="1" applyAlignment="1" applyProtection="1">
      <alignment horizontal="left" vertical="top"/>
    </xf>
    <xf numFmtId="0" fontId="18" fillId="12" borderId="5" xfId="0" applyNumberFormat="1" applyFont="1" applyFill="1" applyBorder="1" applyAlignment="1" applyProtection="1">
      <alignment horizontal="left" vertical="top"/>
    </xf>
    <xf numFmtId="0" fontId="3" fillId="0" borderId="28" xfId="0" applyFont="1" applyFill="1" applyBorder="1" applyProtection="1"/>
    <xf numFmtId="0" fontId="3" fillId="12" borderId="15" xfId="0" applyFont="1" applyFill="1" applyBorder="1" applyProtection="1"/>
    <xf numFmtId="0" fontId="3" fillId="12" borderId="21" xfId="0" applyFont="1" applyFill="1" applyBorder="1" applyProtection="1"/>
    <xf numFmtId="0" fontId="3" fillId="12" borderId="14" xfId="0" applyFont="1" applyFill="1" applyBorder="1" applyProtection="1"/>
    <xf numFmtId="0" fontId="24" fillId="0" borderId="32" xfId="0" applyFont="1" applyBorder="1" applyAlignment="1" applyProtection="1">
      <alignment horizontal="center"/>
    </xf>
    <xf numFmtId="0" fontId="3" fillId="12" borderId="22" xfId="0" applyFont="1" applyFill="1" applyBorder="1" applyProtection="1"/>
    <xf numFmtId="0" fontId="13" fillId="12" borderId="0" xfId="0" applyNumberFormat="1" applyFont="1" applyFill="1" applyBorder="1" applyAlignment="1" applyProtection="1">
      <alignment horizontal="left" vertical="center"/>
    </xf>
    <xf numFmtId="0" fontId="3" fillId="12" borderId="0" xfId="0" applyFont="1" applyFill="1" applyBorder="1" applyProtection="1"/>
    <xf numFmtId="0" fontId="13" fillId="12" borderId="0" xfId="0" applyNumberFormat="1" applyFont="1" applyFill="1" applyBorder="1" applyAlignment="1" applyProtection="1">
      <alignment horizontal="left" indent="1"/>
    </xf>
    <xf numFmtId="0" fontId="13" fillId="12" borderId="0" xfId="0" applyNumberFormat="1" applyFont="1" applyFill="1" applyBorder="1" applyAlignment="1" applyProtection="1">
      <alignment horizontal="left"/>
    </xf>
    <xf numFmtId="0" fontId="3" fillId="12" borderId="17" xfId="0" applyFont="1" applyFill="1" applyBorder="1" applyProtection="1"/>
    <xf numFmtId="0" fontId="13" fillId="12" borderId="0" xfId="0" applyNumberFormat="1" applyFont="1" applyFill="1" applyBorder="1" applyAlignment="1" applyProtection="1">
      <alignment horizontal="left" vertical="top" indent="1"/>
    </xf>
    <xf numFmtId="0" fontId="13" fillId="12" borderId="0" xfId="0" applyNumberFormat="1" applyFont="1" applyFill="1" applyBorder="1" applyAlignment="1" applyProtection="1">
      <alignment horizontal="left" vertical="top"/>
    </xf>
    <xf numFmtId="0" fontId="47" fillId="12" borderId="0" xfId="0" applyFont="1" applyFill="1" applyBorder="1" applyAlignment="1" applyProtection="1">
      <alignment horizontal="left"/>
    </xf>
    <xf numFmtId="0" fontId="36" fillId="12" borderId="0" xfId="0" applyFont="1" applyFill="1" applyBorder="1" applyAlignment="1" applyProtection="1">
      <alignment horizontal="left"/>
    </xf>
    <xf numFmtId="0" fontId="13" fillId="12" borderId="0" xfId="0" applyNumberFormat="1" applyFont="1" applyFill="1" applyBorder="1" applyAlignment="1" applyProtection="1">
      <alignment vertical="top" wrapText="1"/>
    </xf>
    <xf numFmtId="165" fontId="17" fillId="12" borderId="17" xfId="0" applyNumberFormat="1" applyFont="1" applyFill="1" applyBorder="1" applyProtection="1"/>
    <xf numFmtId="165" fontId="17" fillId="0" borderId="28" xfId="0" applyNumberFormat="1" applyFont="1" applyFill="1" applyBorder="1" applyProtection="1"/>
    <xf numFmtId="0" fontId="3" fillId="11" borderId="32" xfId="0" applyFont="1" applyFill="1" applyBorder="1" applyAlignment="1" applyProtection="1">
      <alignment horizontal="center"/>
    </xf>
    <xf numFmtId="0" fontId="3" fillId="12" borderId="13" xfId="0" applyFont="1" applyFill="1" applyBorder="1" applyProtection="1"/>
    <xf numFmtId="0" fontId="13" fillId="12" borderId="23" xfId="0" applyNumberFormat="1" applyFont="1" applyFill="1" applyBorder="1" applyAlignment="1" applyProtection="1">
      <alignment horizontal="left" vertical="center"/>
    </xf>
    <xf numFmtId="0" fontId="3" fillId="12" borderId="23" xfId="0" applyFont="1" applyFill="1" applyBorder="1" applyProtection="1"/>
    <xf numFmtId="0" fontId="13" fillId="12" borderId="23" xfId="0" applyNumberFormat="1" applyFont="1" applyFill="1" applyBorder="1" applyAlignment="1" applyProtection="1">
      <alignment horizontal="left" vertical="center" wrapText="1"/>
    </xf>
    <xf numFmtId="0" fontId="13" fillId="12" borderId="23" xfId="0" applyNumberFormat="1" applyFont="1" applyFill="1" applyBorder="1" applyAlignment="1" applyProtection="1">
      <alignment vertical="center" wrapText="1"/>
    </xf>
    <xf numFmtId="165" fontId="17" fillId="12" borderId="23" xfId="0" applyNumberFormat="1" applyFont="1" applyFill="1" applyBorder="1" applyAlignment="1" applyProtection="1">
      <alignment horizontal="right"/>
    </xf>
    <xf numFmtId="165" fontId="17" fillId="12" borderId="11" xfId="0" applyNumberFormat="1" applyFont="1" applyFill="1" applyBorder="1" applyProtection="1"/>
    <xf numFmtId="0" fontId="13"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vertical="center" wrapText="1"/>
    </xf>
    <xf numFmtId="165" fontId="17" fillId="0" borderId="0" xfId="0" applyNumberFormat="1" applyFont="1" applyFill="1" applyBorder="1" applyAlignment="1" applyProtection="1">
      <alignment horizontal="right"/>
    </xf>
    <xf numFmtId="165" fontId="17" fillId="0" borderId="0" xfId="0" applyNumberFormat="1" applyFont="1" applyFill="1" applyBorder="1" applyProtection="1"/>
    <xf numFmtId="0" fontId="26" fillId="12" borderId="4" xfId="0" applyFont="1" applyFill="1" applyBorder="1" applyAlignment="1" applyProtection="1">
      <alignment horizontal="left" vertical="center"/>
    </xf>
    <xf numFmtId="0" fontId="3" fillId="12" borderId="4" xfId="0" applyFont="1" applyFill="1" applyBorder="1" applyProtection="1"/>
    <xf numFmtId="0" fontId="3" fillId="12" borderId="5" xfId="0" applyFont="1" applyFill="1" applyBorder="1" applyProtection="1"/>
    <xf numFmtId="165" fontId="10" fillId="0" borderId="0" xfId="0" applyNumberFormat="1" applyFont="1" applyFill="1" applyBorder="1" applyProtection="1"/>
    <xf numFmtId="165" fontId="10" fillId="0" borderId="28" xfId="0" applyNumberFormat="1" applyFont="1" applyFill="1" applyBorder="1" applyProtection="1"/>
    <xf numFmtId="0" fontId="1" fillId="0" borderId="32" xfId="0" applyFont="1" applyFill="1" applyBorder="1" applyAlignment="1" applyProtection="1">
      <alignment horizontal="center"/>
    </xf>
    <xf numFmtId="165" fontId="10" fillId="12" borderId="21" xfId="0" applyNumberFormat="1" applyFont="1" applyFill="1" applyBorder="1" applyProtection="1"/>
    <xf numFmtId="165" fontId="10" fillId="12" borderId="14" xfId="0" applyNumberFormat="1" applyFont="1" applyFill="1" applyBorder="1" applyProtection="1"/>
    <xf numFmtId="165" fontId="10" fillId="12" borderId="17" xfId="0" applyNumberFormat="1" applyFont="1" applyFill="1" applyBorder="1" applyProtection="1"/>
    <xf numFmtId="165" fontId="10" fillId="12" borderId="0" xfId="0" applyNumberFormat="1" applyFont="1" applyFill="1" applyBorder="1" applyAlignment="1" applyProtection="1">
      <alignment horizontal="right"/>
    </xf>
    <xf numFmtId="0" fontId="24" fillId="11" borderId="32" xfId="0" applyFont="1" applyFill="1" applyBorder="1" applyAlignment="1" applyProtection="1">
      <alignment horizontal="center"/>
    </xf>
    <xf numFmtId="0" fontId="13" fillId="12" borderId="66" xfId="0" applyNumberFormat="1" applyFont="1" applyFill="1" applyBorder="1" applyAlignment="1" applyProtection="1">
      <alignment horizontal="left" vertical="center" indent="1"/>
    </xf>
    <xf numFmtId="0" fontId="13" fillId="12" borderId="66" xfId="0" applyNumberFormat="1" applyFont="1" applyFill="1" applyBorder="1" applyAlignment="1" applyProtection="1">
      <alignment horizontal="left" vertical="center"/>
    </xf>
    <xf numFmtId="0" fontId="3" fillId="12" borderId="66" xfId="0" applyFont="1" applyFill="1" applyBorder="1" applyProtection="1"/>
    <xf numFmtId="0" fontId="13" fillId="12" borderId="66" xfId="0" applyNumberFormat="1" applyFont="1" applyFill="1" applyBorder="1" applyAlignment="1" applyProtection="1">
      <alignment horizontal="right" vertical="center"/>
    </xf>
    <xf numFmtId="0" fontId="3" fillId="0" borderId="0" xfId="0" applyFont="1" applyBorder="1" applyAlignment="1" applyProtection="1">
      <alignment vertical="center"/>
    </xf>
    <xf numFmtId="0" fontId="3" fillId="12" borderId="68" xfId="0" applyFont="1" applyFill="1" applyBorder="1" applyProtection="1"/>
    <xf numFmtId="0" fontId="46" fillId="12" borderId="68" xfId="0" applyNumberFormat="1" applyFont="1" applyFill="1" applyBorder="1" applyAlignment="1" applyProtection="1">
      <alignment vertical="center" readingOrder="2"/>
    </xf>
    <xf numFmtId="0" fontId="46" fillId="12" borderId="66" xfId="0" applyNumberFormat="1" applyFont="1" applyFill="1" applyBorder="1" applyAlignment="1" applyProtection="1">
      <alignment vertical="center" readingOrder="2"/>
    </xf>
    <xf numFmtId="0" fontId="3" fillId="12" borderId="22" xfId="0" applyFont="1" applyFill="1" applyBorder="1" applyAlignment="1" applyProtection="1">
      <alignment vertical="center"/>
    </xf>
    <xf numFmtId="0" fontId="37" fillId="12" borderId="0" xfId="0" applyNumberFormat="1" applyFont="1" applyFill="1" applyBorder="1" applyAlignment="1" applyProtection="1">
      <alignment horizontal="left" vertical="center"/>
    </xf>
    <xf numFmtId="0" fontId="43" fillId="12" borderId="0" xfId="0" applyNumberFormat="1" applyFont="1" applyFill="1" applyBorder="1" applyAlignment="1" applyProtection="1">
      <alignment horizontal="left" vertical="center"/>
    </xf>
    <xf numFmtId="0" fontId="44" fillId="12" borderId="0" xfId="0" applyFont="1" applyFill="1" applyBorder="1" applyProtection="1"/>
    <xf numFmtId="0" fontId="45" fillId="12" borderId="0" xfId="0" applyFont="1" applyFill="1" applyBorder="1" applyAlignment="1" applyProtection="1">
      <alignment horizontal="center"/>
    </xf>
    <xf numFmtId="0" fontId="45" fillId="12" borderId="0" xfId="0" applyFont="1" applyFill="1" applyBorder="1" applyAlignment="1" applyProtection="1">
      <alignment horizontal="right"/>
    </xf>
    <xf numFmtId="0" fontId="35" fillId="12" borderId="0" xfId="0" applyFont="1" applyFill="1" applyBorder="1" applyAlignment="1" applyProtection="1">
      <alignment horizontal="right"/>
    </xf>
    <xf numFmtId="0" fontId="3" fillId="12" borderId="13" xfId="0" applyFont="1" applyFill="1" applyBorder="1" applyAlignment="1" applyProtection="1">
      <alignment vertical="center"/>
    </xf>
    <xf numFmtId="0" fontId="3" fillId="12" borderId="23" xfId="0" applyFont="1" applyFill="1" applyBorder="1" applyAlignment="1" applyProtection="1">
      <alignment vertical="center"/>
    </xf>
    <xf numFmtId="0" fontId="24" fillId="0" borderId="32" xfId="0" applyFont="1" applyFill="1" applyBorder="1" applyAlignment="1" applyProtection="1">
      <alignment horizontal="center"/>
    </xf>
    <xf numFmtId="0" fontId="3" fillId="0" borderId="0" xfId="0" applyFont="1" applyFill="1" applyBorder="1" applyAlignment="1" applyProtection="1">
      <alignment vertical="center"/>
    </xf>
    <xf numFmtId="0" fontId="3" fillId="0" borderId="21" xfId="0" applyFont="1" applyFill="1" applyBorder="1" applyProtection="1"/>
    <xf numFmtId="165" fontId="17" fillId="0" borderId="21" xfId="0" applyNumberFormat="1" applyFont="1" applyFill="1" applyBorder="1" applyAlignment="1" applyProtection="1">
      <alignment horizontal="right"/>
    </xf>
    <xf numFmtId="165" fontId="17" fillId="0" borderId="21" xfId="0" applyNumberFormat="1" applyFont="1" applyFill="1" applyBorder="1" applyProtection="1"/>
    <xf numFmtId="0" fontId="3" fillId="0" borderId="32" xfId="0" applyFont="1" applyBorder="1" applyAlignment="1" applyProtection="1">
      <alignment horizontal="center"/>
    </xf>
    <xf numFmtId="0" fontId="3" fillId="12" borderId="3" xfId="0" applyFont="1" applyFill="1" applyBorder="1" applyAlignment="1" applyProtection="1">
      <alignment vertical="center"/>
    </xf>
    <xf numFmtId="0" fontId="3" fillId="0" borderId="23" xfId="0" applyFont="1" applyFill="1" applyBorder="1" applyProtection="1"/>
    <xf numFmtId="165" fontId="17" fillId="0" borderId="23" xfId="0" applyNumberFormat="1" applyFont="1" applyFill="1" applyBorder="1" applyAlignment="1" applyProtection="1">
      <alignment horizontal="right"/>
    </xf>
    <xf numFmtId="165" fontId="17" fillId="0" borderId="23" xfId="0" applyNumberFormat="1" applyFont="1" applyFill="1" applyBorder="1" applyProtection="1"/>
    <xf numFmtId="0" fontId="3" fillId="12" borderId="15" xfId="0" applyFont="1" applyFill="1" applyBorder="1" applyAlignment="1" applyProtection="1">
      <alignment vertical="center"/>
    </xf>
    <xf numFmtId="0" fontId="3" fillId="12" borderId="21" xfId="0" applyFont="1" applyFill="1" applyBorder="1" applyAlignment="1" applyProtection="1">
      <alignment vertical="center"/>
    </xf>
    <xf numFmtId="165" fontId="17" fillId="12" borderId="21" xfId="0" applyNumberFormat="1" applyFont="1" applyFill="1" applyBorder="1" applyAlignment="1" applyProtection="1">
      <alignment horizontal="right"/>
    </xf>
    <xf numFmtId="165" fontId="17" fillId="12" borderId="14" xfId="0" applyNumberFormat="1" applyFont="1" applyFill="1" applyBorder="1" applyProtection="1"/>
    <xf numFmtId="0" fontId="13" fillId="12" borderId="0" xfId="0" applyNumberFormat="1" applyFont="1" applyFill="1" applyBorder="1" applyAlignment="1" applyProtection="1">
      <alignment vertical="center" wrapText="1"/>
    </xf>
    <xf numFmtId="10" fontId="10" fillId="12" borderId="17" xfId="2" applyNumberFormat="1" applyFont="1" applyFill="1" applyBorder="1" applyAlignment="1" applyProtection="1">
      <alignment horizontal="right" vertical="center"/>
    </xf>
    <xf numFmtId="10" fontId="10" fillId="0" borderId="28" xfId="2" applyNumberFormat="1" applyFont="1" applyFill="1" applyBorder="1" applyAlignment="1" applyProtection="1">
      <alignment horizontal="right" vertical="center"/>
    </xf>
    <xf numFmtId="10" fontId="10" fillId="12" borderId="0" xfId="2" applyNumberFormat="1" applyFont="1" applyFill="1" applyBorder="1" applyAlignment="1" applyProtection="1">
      <alignment vertical="center"/>
    </xf>
    <xf numFmtId="165" fontId="17" fillId="12" borderId="17" xfId="0" applyNumberFormat="1" applyFont="1" applyFill="1" applyBorder="1" applyAlignment="1" applyProtection="1">
      <alignment horizontal="right" vertical="center"/>
    </xf>
    <xf numFmtId="165" fontId="17" fillId="0" borderId="28" xfId="0" applyNumberFormat="1" applyFont="1" applyFill="1" applyBorder="1" applyAlignment="1" applyProtection="1">
      <alignment horizontal="right" vertical="center"/>
    </xf>
    <xf numFmtId="10" fontId="3" fillId="0" borderId="0" xfId="2" applyNumberFormat="1" applyFont="1" applyFill="1" applyBorder="1" applyProtection="1"/>
    <xf numFmtId="0" fontId="13" fillId="12" borderId="21" xfId="0" applyNumberFormat="1" applyFont="1" applyFill="1" applyBorder="1" applyAlignment="1" applyProtection="1">
      <alignment horizontal="left" vertical="center"/>
    </xf>
    <xf numFmtId="10" fontId="10" fillId="12" borderId="17" xfId="2" applyNumberFormat="1" applyFont="1" applyFill="1" applyBorder="1" applyProtection="1"/>
    <xf numFmtId="10" fontId="10" fillId="12" borderId="23" xfId="2" applyNumberFormat="1" applyFont="1" applyFill="1" applyBorder="1" applyAlignment="1" applyProtection="1">
      <alignment horizontal="right"/>
    </xf>
    <xf numFmtId="10" fontId="10" fillId="12" borderId="11" xfId="2" applyNumberFormat="1" applyFont="1" applyFill="1" applyBorder="1" applyProtection="1"/>
    <xf numFmtId="0" fontId="26" fillId="12" borderId="21" xfId="0" applyFont="1" applyFill="1" applyBorder="1" applyAlignment="1" applyProtection="1">
      <alignment horizontal="left" vertical="center"/>
    </xf>
    <xf numFmtId="9" fontId="13" fillId="0" borderId="0" xfId="2" applyFont="1" applyFill="1" applyBorder="1" applyAlignment="1" applyProtection="1">
      <alignment horizontal="center" vertical="center"/>
    </xf>
    <xf numFmtId="9" fontId="13" fillId="12" borderId="21" xfId="2" applyFont="1" applyFill="1" applyBorder="1" applyAlignment="1" applyProtection="1">
      <alignment horizontal="center" vertical="center"/>
    </xf>
    <xf numFmtId="9" fontId="13" fillId="12" borderId="14" xfId="2" applyFont="1" applyFill="1" applyBorder="1" applyAlignment="1" applyProtection="1">
      <alignment horizontal="center" vertical="center"/>
    </xf>
    <xf numFmtId="0" fontId="11" fillId="12" borderId="18" xfId="0" applyFont="1" applyFill="1" applyBorder="1" applyAlignment="1" applyProtection="1">
      <alignment vertical="center"/>
    </xf>
    <xf numFmtId="0" fontId="13" fillId="12" borderId="18" xfId="0" applyFont="1" applyFill="1" applyBorder="1" applyAlignment="1" applyProtection="1">
      <alignment horizontal="left" vertical="center"/>
    </xf>
    <xf numFmtId="0" fontId="13" fillId="12" borderId="18" xfId="0" applyFont="1" applyFill="1" applyBorder="1" applyAlignment="1" applyProtection="1">
      <alignment vertical="center"/>
    </xf>
    <xf numFmtId="0" fontId="11" fillId="12" borderId="18" xfId="0" applyFont="1" applyFill="1" applyBorder="1" applyAlignment="1" applyProtection="1">
      <alignment horizontal="left" vertical="center"/>
    </xf>
    <xf numFmtId="0" fontId="10" fillId="12" borderId="18" xfId="0" applyNumberFormat="1" applyFont="1" applyFill="1" applyBorder="1" applyAlignment="1" applyProtection="1">
      <alignment horizontal="right" vertical="center"/>
    </xf>
    <xf numFmtId="165" fontId="10" fillId="12" borderId="17" xfId="0" applyNumberFormat="1" applyFont="1" applyFill="1" applyBorder="1" applyAlignment="1" applyProtection="1">
      <alignment horizontal="right" vertical="center"/>
    </xf>
    <xf numFmtId="0" fontId="11" fillId="12" borderId="19" xfId="0" applyFont="1" applyFill="1" applyBorder="1" applyAlignment="1" applyProtection="1">
      <alignment vertical="center"/>
    </xf>
    <xf numFmtId="0" fontId="13" fillId="12" borderId="19" xfId="0" applyNumberFormat="1" applyFont="1" applyFill="1" applyBorder="1" applyAlignment="1" applyProtection="1">
      <alignment horizontal="left" vertical="center"/>
    </xf>
    <xf numFmtId="0" fontId="11" fillId="12" borderId="19" xfId="0" applyFont="1" applyFill="1" applyBorder="1" applyAlignment="1" applyProtection="1">
      <alignment horizontal="left" vertical="center"/>
    </xf>
    <xf numFmtId="0" fontId="10" fillId="12" borderId="19" xfId="0" applyNumberFormat="1" applyFont="1" applyFill="1" applyBorder="1" applyAlignment="1" applyProtection="1">
      <alignment horizontal="left" vertical="center"/>
    </xf>
    <xf numFmtId="0" fontId="10" fillId="12" borderId="19" xfId="0" applyNumberFormat="1" applyFont="1" applyFill="1" applyBorder="1" applyAlignment="1" applyProtection="1">
      <alignment horizontal="right" vertical="center"/>
    </xf>
    <xf numFmtId="0" fontId="7" fillId="12" borderId="22" xfId="0" applyFont="1" applyFill="1" applyBorder="1" applyAlignment="1" applyProtection="1">
      <alignment vertical="center"/>
    </xf>
    <xf numFmtId="0" fontId="12" fillId="12" borderId="19" xfId="0" applyFont="1" applyFill="1" applyBorder="1" applyAlignment="1" applyProtection="1">
      <alignment vertical="center"/>
    </xf>
    <xf numFmtId="0" fontId="12" fillId="12" borderId="19" xfId="0" applyFont="1" applyFill="1" applyBorder="1" applyAlignment="1" applyProtection="1">
      <alignment horizontal="left" vertical="center"/>
    </xf>
    <xf numFmtId="0" fontId="7" fillId="12" borderId="22" xfId="0" applyFont="1" applyFill="1" applyBorder="1" applyProtection="1"/>
    <xf numFmtId="0" fontId="12" fillId="12" borderId="20" xfId="0" applyFont="1" applyFill="1" applyBorder="1" applyAlignment="1" applyProtection="1">
      <alignment vertical="center"/>
    </xf>
    <xf numFmtId="0" fontId="18" fillId="12" borderId="20" xfId="0" applyFont="1" applyFill="1" applyBorder="1" applyAlignment="1" applyProtection="1">
      <alignment vertical="center"/>
    </xf>
    <xf numFmtId="165" fontId="17" fillId="12" borderId="17" xfId="0" applyNumberFormat="1" applyFont="1" applyFill="1" applyBorder="1" applyAlignment="1" applyProtection="1">
      <alignment horizontal="right"/>
    </xf>
    <xf numFmtId="0" fontId="12" fillId="12" borderId="18" xfId="0" applyFont="1" applyFill="1" applyBorder="1" applyAlignment="1" applyProtection="1">
      <alignment vertical="center"/>
    </xf>
    <xf numFmtId="0" fontId="13" fillId="12" borderId="18" xfId="0" applyNumberFormat="1" applyFont="1" applyFill="1" applyBorder="1" applyAlignment="1" applyProtection="1">
      <alignment horizontal="left" vertical="center"/>
    </xf>
    <xf numFmtId="10" fontId="12" fillId="12" borderId="18" xfId="0" applyNumberFormat="1" applyFont="1" applyFill="1" applyBorder="1" applyAlignment="1" applyProtection="1">
      <alignment vertical="center"/>
    </xf>
    <xf numFmtId="10" fontId="13" fillId="12" borderId="18" xfId="0" applyNumberFormat="1" applyFont="1" applyFill="1" applyBorder="1" applyAlignment="1" applyProtection="1">
      <alignment horizontal="right" vertical="center"/>
    </xf>
    <xf numFmtId="10" fontId="13" fillId="12" borderId="19" xfId="0" applyNumberFormat="1" applyFont="1" applyFill="1" applyBorder="1" applyAlignment="1" applyProtection="1">
      <alignment horizontal="right" vertical="center"/>
    </xf>
    <xf numFmtId="0" fontId="7" fillId="12" borderId="57" xfId="0" applyFont="1" applyFill="1" applyBorder="1" applyAlignment="1" applyProtection="1">
      <alignment vertical="center"/>
    </xf>
    <xf numFmtId="0" fontId="13" fillId="12" borderId="57" xfId="0" applyNumberFormat="1" applyFont="1" applyFill="1" applyBorder="1" applyAlignment="1" applyProtection="1">
      <alignment horizontal="left" vertical="center"/>
    </xf>
    <xf numFmtId="10" fontId="13" fillId="12" borderId="57" xfId="0" applyNumberFormat="1" applyFont="1" applyFill="1" applyBorder="1" applyAlignment="1" applyProtection="1">
      <alignment horizontal="right" vertical="center"/>
    </xf>
    <xf numFmtId="0" fontId="10" fillId="12" borderId="57" xfId="0" applyNumberFormat="1" applyFont="1" applyFill="1" applyBorder="1" applyAlignment="1" applyProtection="1">
      <alignment horizontal="right" vertical="center"/>
    </xf>
    <xf numFmtId="0" fontId="22" fillId="10" borderId="0" xfId="0" applyFont="1" applyFill="1" applyBorder="1" applyAlignment="1" applyProtection="1">
      <alignment vertical="center"/>
    </xf>
    <xf numFmtId="0" fontId="20" fillId="10" borderId="0" xfId="0" applyFont="1" applyFill="1" applyBorder="1" applyAlignment="1" applyProtection="1">
      <alignment horizontal="right" vertical="center"/>
    </xf>
    <xf numFmtId="165" fontId="20" fillId="12" borderId="17" xfId="0" applyNumberFormat="1" applyFont="1" applyFill="1" applyBorder="1" applyAlignment="1" applyProtection="1">
      <alignment horizontal="right" vertical="center"/>
    </xf>
    <xf numFmtId="0" fontId="7" fillId="12" borderId="13" xfId="0" applyFont="1" applyFill="1" applyBorder="1" applyAlignment="1" applyProtection="1">
      <alignment vertical="center"/>
    </xf>
    <xf numFmtId="0" fontId="7" fillId="12" borderId="23" xfId="0" applyFont="1" applyFill="1" applyBorder="1" applyAlignment="1" applyProtection="1">
      <alignment vertical="center"/>
    </xf>
    <xf numFmtId="0" fontId="7" fillId="12" borderId="11" xfId="0" applyFont="1" applyFill="1" applyBorder="1" applyAlignment="1" applyProtection="1">
      <alignment vertical="center"/>
    </xf>
    <xf numFmtId="0" fontId="3" fillId="0" borderId="0" xfId="0" applyFont="1" applyFill="1" applyBorder="1" applyAlignment="1" applyProtection="1">
      <alignment horizontal="center"/>
    </xf>
    <xf numFmtId="0" fontId="0" fillId="0" borderId="31" xfId="0" applyBorder="1"/>
    <xf numFmtId="165" fontId="17" fillId="12" borderId="0" xfId="0" applyNumberFormat="1" applyFont="1" applyFill="1" applyBorder="1" applyAlignment="1" applyProtection="1">
      <alignment horizontal="right"/>
    </xf>
    <xf numFmtId="0" fontId="49" fillId="10" borderId="0" xfId="0" applyFont="1" applyFill="1" applyBorder="1" applyAlignment="1" applyProtection="1">
      <alignment horizontal="left" vertical="center"/>
    </xf>
    <xf numFmtId="0" fontId="3" fillId="10" borderId="0" xfId="0" applyFont="1" applyFill="1" applyBorder="1" applyAlignment="1" applyProtection="1">
      <alignment horizontal="left"/>
    </xf>
    <xf numFmtId="0" fontId="27" fillId="10" borderId="0" xfId="0" applyFont="1" applyFill="1" applyBorder="1" applyAlignment="1" applyProtection="1">
      <alignment horizontal="left" vertical="center"/>
    </xf>
    <xf numFmtId="0" fontId="15" fillId="10" borderId="0" xfId="0" applyFont="1" applyFill="1" applyBorder="1" applyAlignment="1" applyProtection="1">
      <alignment horizontal="left" vertical="center"/>
    </xf>
    <xf numFmtId="0" fontId="14" fillId="10" borderId="0" xfId="0" applyFont="1" applyFill="1" applyBorder="1" applyAlignment="1" applyProtection="1">
      <alignment horizontal="left"/>
    </xf>
    <xf numFmtId="0" fontId="23" fillId="10" borderId="0" xfId="0" applyFont="1" applyFill="1" applyBorder="1" applyAlignment="1" applyProtection="1">
      <alignment horizontal="left" vertical="center"/>
    </xf>
    <xf numFmtId="0" fontId="16" fillId="10" borderId="0" xfId="0" applyFont="1" applyFill="1" applyBorder="1" applyAlignment="1" applyProtection="1">
      <alignment horizontal="left" vertical="center"/>
    </xf>
    <xf numFmtId="0" fontId="3" fillId="10" borderId="30" xfId="0" applyFont="1" applyFill="1" applyBorder="1" applyAlignment="1" applyProtection="1">
      <alignment horizontal="left"/>
    </xf>
    <xf numFmtId="0" fontId="14" fillId="10" borderId="30" xfId="0" applyFont="1" applyFill="1" applyBorder="1" applyAlignment="1" applyProtection="1">
      <alignment horizontal="left"/>
    </xf>
    <xf numFmtId="0" fontId="16" fillId="10" borderId="30" xfId="0" applyFont="1" applyFill="1" applyBorder="1" applyAlignment="1" applyProtection="1">
      <alignment horizontal="left" vertical="center"/>
    </xf>
    <xf numFmtId="0" fontId="46" fillId="12" borderId="0" xfId="0" applyNumberFormat="1" applyFont="1" applyFill="1" applyBorder="1" applyAlignment="1" applyProtection="1">
      <alignment vertical="center" readingOrder="2"/>
    </xf>
    <xf numFmtId="0" fontId="13" fillId="12" borderId="66" xfId="0" applyNumberFormat="1" applyFont="1" applyFill="1" applyBorder="1" applyAlignment="1" applyProtection="1">
      <alignment vertical="center" wrapText="1"/>
    </xf>
    <xf numFmtId="165" fontId="17" fillId="12" borderId="66" xfId="0" applyNumberFormat="1" applyFont="1" applyFill="1" applyBorder="1" applyAlignment="1" applyProtection="1">
      <alignment horizontal="right"/>
    </xf>
    <xf numFmtId="10" fontId="10" fillId="12" borderId="0" xfId="2" applyNumberFormat="1" applyFont="1" applyFill="1" applyBorder="1" applyAlignment="1" applyProtection="1">
      <alignment horizontal="right" vertical="center"/>
    </xf>
    <xf numFmtId="0" fontId="0" fillId="0" borderId="29" xfId="0" applyBorder="1"/>
    <xf numFmtId="0" fontId="0" fillId="0" borderId="30" xfId="0" applyBorder="1"/>
    <xf numFmtId="165" fontId="17" fillId="0" borderId="31" xfId="0" applyNumberFormat="1" applyFont="1" applyFill="1" applyBorder="1" applyAlignment="1" applyProtection="1">
      <alignment horizontal="right" vertical="center"/>
    </xf>
    <xf numFmtId="0" fontId="3" fillId="0" borderId="29" xfId="0" applyFont="1" applyFill="1" applyBorder="1" applyProtection="1"/>
    <xf numFmtId="0" fontId="13" fillId="12" borderId="21" xfId="0" applyNumberFormat="1" applyFont="1" applyFill="1" applyBorder="1" applyAlignment="1" applyProtection="1">
      <alignment vertical="center" wrapText="1"/>
    </xf>
    <xf numFmtId="0" fontId="13" fillId="12" borderId="0" xfId="0" applyNumberFormat="1" applyFont="1" applyFill="1" applyBorder="1" applyAlignment="1" applyProtection="1">
      <alignment vertical="center"/>
    </xf>
    <xf numFmtId="0" fontId="12" fillId="12" borderId="69" xfId="0" applyFont="1" applyFill="1" applyBorder="1" applyAlignment="1" applyProtection="1">
      <alignment vertical="center"/>
    </xf>
    <xf numFmtId="0" fontId="18" fillId="12" borderId="69" xfId="0" applyFont="1" applyFill="1" applyBorder="1" applyAlignment="1" applyProtection="1">
      <alignment horizontal="right" vertical="center"/>
    </xf>
    <xf numFmtId="0" fontId="42" fillId="10" borderId="0" xfId="0" applyFont="1" applyFill="1" applyBorder="1" applyAlignment="1" applyProtection="1">
      <alignment vertical="center"/>
    </xf>
    <xf numFmtId="0" fontId="13" fillId="0" borderId="0" xfId="0" applyNumberFormat="1" applyFont="1" applyFill="1" applyBorder="1" applyAlignment="1" applyProtection="1">
      <alignment horizontal="left" vertical="top"/>
    </xf>
    <xf numFmtId="0" fontId="13" fillId="12" borderId="19" xfId="0" applyNumberFormat="1" applyFont="1" applyFill="1" applyBorder="1" applyAlignment="1" applyProtection="1">
      <alignment vertical="center"/>
    </xf>
    <xf numFmtId="10" fontId="13" fillId="12" borderId="19" xfId="0" applyNumberFormat="1" applyFont="1" applyFill="1" applyBorder="1" applyAlignment="1" applyProtection="1"/>
    <xf numFmtId="0" fontId="12" fillId="17" borderId="18" xfId="0" applyFont="1" applyFill="1" applyBorder="1" applyAlignment="1" applyProtection="1">
      <alignment vertical="center"/>
    </xf>
    <xf numFmtId="0" fontId="13" fillId="17" borderId="18" xfId="0" applyNumberFormat="1" applyFont="1" applyFill="1" applyBorder="1" applyAlignment="1" applyProtection="1">
      <alignment horizontal="left" vertical="center"/>
    </xf>
    <xf numFmtId="10" fontId="12" fillId="17" borderId="18" xfId="0" applyNumberFormat="1" applyFont="1" applyFill="1" applyBorder="1" applyAlignment="1" applyProtection="1">
      <alignment vertical="center"/>
    </xf>
    <xf numFmtId="10" fontId="13" fillId="17" borderId="18" xfId="0" applyNumberFormat="1" applyFont="1" applyFill="1" applyBorder="1" applyAlignment="1" applyProtection="1">
      <alignment horizontal="right" vertical="center"/>
    </xf>
    <xf numFmtId="0" fontId="10" fillId="17" borderId="18" xfId="0" applyNumberFormat="1" applyFont="1" applyFill="1" applyBorder="1" applyAlignment="1" applyProtection="1">
      <alignment horizontal="right" vertical="center"/>
    </xf>
    <xf numFmtId="0" fontId="0" fillId="12" borderId="0" xfId="0" applyFill="1"/>
    <xf numFmtId="0" fontId="50" fillId="10" borderId="30" xfId="0" applyFont="1" applyFill="1" applyBorder="1" applyAlignment="1" applyProtection="1">
      <alignment horizontal="left"/>
    </xf>
    <xf numFmtId="0" fontId="13" fillId="12" borderId="23" xfId="0" applyNumberFormat="1" applyFont="1" applyFill="1" applyBorder="1" applyAlignment="1" applyProtection="1">
      <alignment horizontal="left" vertical="top" indent="1"/>
    </xf>
    <xf numFmtId="10" fontId="10" fillId="12" borderId="0" xfId="2" applyNumberFormat="1" applyFont="1" applyFill="1" applyBorder="1" applyAlignment="1" applyProtection="1">
      <alignment horizontal="right"/>
    </xf>
    <xf numFmtId="2" fontId="10" fillId="12" borderId="19" xfId="1" applyNumberFormat="1" applyFont="1" applyFill="1" applyBorder="1" applyAlignment="1" applyProtection="1">
      <alignment vertical="center"/>
    </xf>
    <xf numFmtId="0" fontId="13" fillId="12" borderId="0" xfId="0" applyNumberFormat="1" applyFont="1" applyFill="1" applyBorder="1" applyAlignment="1" applyProtection="1">
      <alignment horizontal="left" vertical="center" wrapText="1"/>
    </xf>
    <xf numFmtId="165" fontId="10" fillId="12" borderId="0" xfId="0" applyNumberFormat="1" applyFont="1" applyFill="1" applyBorder="1" applyAlignment="1" applyProtection="1">
      <alignment horizontal="right"/>
    </xf>
    <xf numFmtId="165" fontId="17" fillId="12" borderId="0" xfId="0" applyNumberFormat="1" applyFont="1" applyFill="1" applyBorder="1" applyAlignment="1" applyProtection="1">
      <alignment horizontal="right"/>
    </xf>
    <xf numFmtId="0" fontId="42" fillId="10" borderId="0" xfId="0" applyFont="1" applyFill="1" applyBorder="1" applyAlignment="1" applyProtection="1">
      <alignment horizontal="left" vertical="center"/>
    </xf>
    <xf numFmtId="169" fontId="42" fillId="10" borderId="0" xfId="1" applyNumberFormat="1" applyFont="1" applyFill="1" applyBorder="1" applyAlignment="1" applyProtection="1">
      <alignment horizontal="right" vertical="center"/>
    </xf>
    <xf numFmtId="2" fontId="10" fillId="17" borderId="18" xfId="1" applyNumberFormat="1" applyFont="1" applyFill="1" applyBorder="1" applyAlignment="1" applyProtection="1">
      <alignment vertical="center"/>
    </xf>
    <xf numFmtId="0" fontId="18" fillId="2" borderId="0" xfId="0" applyFont="1" applyFill="1" applyBorder="1" applyAlignment="1" applyProtection="1">
      <alignment horizontal="left" vertical="center" wrapText="1"/>
    </xf>
    <xf numFmtId="0" fontId="18" fillId="12" borderId="20" xfId="0" applyFont="1" applyFill="1" applyBorder="1" applyAlignment="1" applyProtection="1">
      <alignment horizontal="right" vertical="center"/>
    </xf>
    <xf numFmtId="2" fontId="17" fillId="12" borderId="69" xfId="1" applyNumberFormat="1" applyFont="1" applyFill="1" applyBorder="1" applyAlignment="1" applyProtection="1">
      <alignment horizontal="right"/>
    </xf>
    <xf numFmtId="0" fontId="23" fillId="10" borderId="0" xfId="0" applyFont="1" applyFill="1" applyBorder="1" applyAlignment="1" applyProtection="1">
      <alignment horizontal="left"/>
    </xf>
    <xf numFmtId="165" fontId="10" fillId="12" borderId="68" xfId="0" applyNumberFormat="1" applyFont="1" applyFill="1" applyBorder="1" applyAlignment="1" applyProtection="1"/>
    <xf numFmtId="165" fontId="10" fillId="12" borderId="66" xfId="0" applyNumberFormat="1" applyFont="1" applyFill="1" applyBorder="1" applyAlignment="1" applyProtection="1"/>
    <xf numFmtId="0" fontId="13" fillId="12" borderId="0" xfId="0" applyNumberFormat="1" applyFont="1" applyFill="1" applyBorder="1" applyAlignment="1" applyProtection="1">
      <alignment horizontal="left" vertical="center" wrapText="1" indent="1"/>
    </xf>
    <xf numFmtId="0" fontId="13" fillId="12" borderId="66" xfId="0" applyNumberFormat="1" applyFont="1" applyFill="1" applyBorder="1" applyAlignment="1" applyProtection="1">
      <alignment horizontal="left" vertical="center" wrapText="1" indent="1"/>
    </xf>
    <xf numFmtId="0" fontId="13" fillId="12" borderId="68" xfId="0" applyNumberFormat="1" applyFont="1" applyFill="1" applyBorder="1" applyAlignment="1" applyProtection="1">
      <alignment horizontal="left" vertical="center" wrapText="1" indent="1"/>
    </xf>
    <xf numFmtId="0" fontId="49" fillId="10" borderId="0" xfId="0" applyFont="1" applyFill="1" applyBorder="1" applyAlignment="1" applyProtection="1">
      <alignment horizontal="center" vertical="center"/>
    </xf>
    <xf numFmtId="0" fontId="49" fillId="10" borderId="30" xfId="0" applyFont="1" applyFill="1" applyBorder="1" applyAlignment="1" applyProtection="1">
      <alignment horizontal="center" vertical="center"/>
    </xf>
    <xf numFmtId="165" fontId="10" fillId="12" borderId="66" xfId="0" applyNumberFormat="1" applyFont="1" applyFill="1" applyBorder="1" applyAlignment="1" applyProtection="1">
      <alignment horizontal="right"/>
    </xf>
    <xf numFmtId="170" fontId="38" fillId="12" borderId="23" xfId="0" applyNumberFormat="1" applyFont="1" applyFill="1" applyBorder="1" applyAlignment="1" applyProtection="1">
      <alignment horizontal="left"/>
    </xf>
    <xf numFmtId="165" fontId="10" fillId="12" borderId="66" xfId="0" applyNumberFormat="1" applyFont="1" applyFill="1" applyBorder="1" applyAlignment="1" applyProtection="1">
      <alignment horizontal="right" vertical="center"/>
    </xf>
    <xf numFmtId="165" fontId="10" fillId="12" borderId="67" xfId="0" applyNumberFormat="1" applyFont="1" applyFill="1" applyBorder="1" applyAlignment="1" applyProtection="1">
      <alignment horizontal="right" vertical="center"/>
    </xf>
    <xf numFmtId="0" fontId="37" fillId="12" borderId="68" xfId="0" applyNumberFormat="1" applyFont="1" applyFill="1" applyBorder="1" applyAlignment="1" applyProtection="1">
      <alignment horizontal="left" vertical="top" wrapText="1"/>
    </xf>
    <xf numFmtId="0" fontId="37" fillId="12" borderId="0" xfId="0" applyNumberFormat="1" applyFont="1" applyFill="1" applyBorder="1" applyAlignment="1" applyProtection="1">
      <alignment horizontal="left" vertical="top" wrapText="1"/>
    </xf>
    <xf numFmtId="165" fontId="17" fillId="12" borderId="68" xfId="0" applyNumberFormat="1" applyFont="1" applyFill="1" applyBorder="1" applyAlignment="1" applyProtection="1">
      <alignment horizontal="right"/>
    </xf>
    <xf numFmtId="2" fontId="10" fillId="12" borderId="57" xfId="1" applyNumberFormat="1" applyFont="1" applyFill="1" applyBorder="1" applyAlignment="1" applyProtection="1">
      <alignment vertical="center"/>
    </xf>
    <xf numFmtId="2" fontId="17" fillId="12" borderId="20" xfId="1" applyNumberFormat="1" applyFont="1" applyFill="1" applyBorder="1" applyAlignment="1" applyProtection="1">
      <alignment vertical="center"/>
    </xf>
    <xf numFmtId="2" fontId="10" fillId="12" borderId="18" xfId="1" applyNumberFormat="1" applyFont="1" applyFill="1" applyBorder="1" applyAlignment="1" applyProtection="1">
      <alignment vertical="center"/>
    </xf>
    <xf numFmtId="0" fontId="13" fillId="12" borderId="67" xfId="0" applyNumberFormat="1" applyFont="1" applyFill="1" applyBorder="1" applyAlignment="1" applyProtection="1">
      <alignment horizontal="left" vertical="center" wrapText="1" indent="1"/>
    </xf>
    <xf numFmtId="0" fontId="11" fillId="12" borderId="70" xfId="0" applyNumberFormat="1" applyFont="1" applyFill="1" applyBorder="1" applyAlignment="1" applyProtection="1">
      <alignment horizontal="center" vertical="center"/>
    </xf>
    <xf numFmtId="0" fontId="11" fillId="12" borderId="71" xfId="0" applyNumberFormat="1" applyFont="1" applyFill="1" applyBorder="1" applyAlignment="1" applyProtection="1">
      <alignment horizontal="center" vertical="center"/>
    </xf>
    <xf numFmtId="0" fontId="37" fillId="12" borderId="0" xfId="0" applyNumberFormat="1" applyFont="1" applyFill="1" applyBorder="1" applyAlignment="1" applyProtection="1">
      <alignment horizontal="left" vertical="center" wrapText="1"/>
    </xf>
    <xf numFmtId="0" fontId="20" fillId="13" borderId="0" xfId="0" applyFont="1" applyFill="1" applyBorder="1" applyAlignment="1">
      <alignment horizontal="center" vertical="center" wrapText="1"/>
    </xf>
    <xf numFmtId="0" fontId="20" fillId="8" borderId="0" xfId="0" applyFont="1" applyFill="1" applyBorder="1" applyAlignment="1">
      <alignment horizontal="center" vertical="center"/>
    </xf>
    <xf numFmtId="0" fontId="48" fillId="10" borderId="0" xfId="0" applyFont="1" applyFill="1" applyBorder="1" applyAlignment="1" applyProtection="1">
      <alignment horizontal="center" vertical="center"/>
    </xf>
    <xf numFmtId="0" fontId="48" fillId="10" borderId="30" xfId="0" applyFont="1" applyFill="1" applyBorder="1" applyAlignment="1" applyProtection="1">
      <alignment horizontal="center" vertical="center"/>
    </xf>
    <xf numFmtId="0" fontId="31" fillId="10" borderId="0" xfId="0" applyFont="1" applyFill="1" applyBorder="1" applyAlignment="1" applyProtection="1">
      <alignment horizontal="left"/>
    </xf>
    <xf numFmtId="0" fontId="39" fillId="19" borderId="3" xfId="0" applyFont="1" applyFill="1" applyBorder="1" applyAlignment="1">
      <alignment horizontal="left" vertical="top" wrapText="1"/>
    </xf>
    <xf numFmtId="0" fontId="39" fillId="19" borderId="4" xfId="0" applyFont="1" applyFill="1" applyBorder="1" applyAlignment="1">
      <alignment horizontal="left" vertical="top" wrapText="1"/>
    </xf>
    <xf numFmtId="0" fontId="39" fillId="19" borderId="5" xfId="0" applyFont="1" applyFill="1" applyBorder="1" applyAlignment="1">
      <alignment horizontal="left" vertical="top" wrapText="1"/>
    </xf>
    <xf numFmtId="0" fontId="39" fillId="19" borderId="15" xfId="0" applyFont="1" applyFill="1" applyBorder="1" applyAlignment="1">
      <alignment horizontal="left" vertical="top" wrapText="1"/>
    </xf>
    <xf numFmtId="0" fontId="39" fillId="19" borderId="21" xfId="0" applyFont="1" applyFill="1" applyBorder="1" applyAlignment="1">
      <alignment horizontal="left" vertical="top" wrapText="1"/>
    </xf>
    <xf numFmtId="0" fontId="39" fillId="19" borderId="14" xfId="0" applyFont="1" applyFill="1" applyBorder="1" applyAlignment="1">
      <alignment horizontal="left" vertical="top" wrapText="1"/>
    </xf>
    <xf numFmtId="0" fontId="39" fillId="19" borderId="22" xfId="0" applyFont="1" applyFill="1" applyBorder="1" applyAlignment="1">
      <alignment horizontal="left" vertical="top" wrapText="1"/>
    </xf>
    <xf numFmtId="0" fontId="39" fillId="19" borderId="0" xfId="0" applyFont="1" applyFill="1" applyBorder="1" applyAlignment="1">
      <alignment horizontal="left" vertical="top" wrapText="1"/>
    </xf>
    <xf numFmtId="0" fontId="39" fillId="19" borderId="17" xfId="0" applyFont="1" applyFill="1" applyBorder="1" applyAlignment="1">
      <alignment horizontal="left" vertical="top" wrapText="1"/>
    </xf>
    <xf numFmtId="0" fontId="39" fillId="19" borderId="13" xfId="0" applyFont="1" applyFill="1" applyBorder="1" applyAlignment="1">
      <alignment horizontal="left" vertical="top" wrapText="1"/>
    </xf>
    <xf numFmtId="0" fontId="39" fillId="19" borderId="23" xfId="0" applyFont="1" applyFill="1" applyBorder="1" applyAlignment="1">
      <alignment horizontal="left" vertical="top" wrapText="1"/>
    </xf>
    <xf numFmtId="0" fontId="39" fillId="19" borderId="11" xfId="0" applyFont="1" applyFill="1" applyBorder="1" applyAlignment="1">
      <alignment horizontal="left" vertical="top" wrapText="1"/>
    </xf>
    <xf numFmtId="0" fontId="39" fillId="19" borderId="3" xfId="0" applyFont="1" applyFill="1" applyBorder="1" applyAlignment="1">
      <alignment horizontal="left" vertical="top"/>
    </xf>
    <xf numFmtId="0" fontId="39" fillId="19" borderId="4" xfId="0" applyFont="1" applyFill="1" applyBorder="1" applyAlignment="1">
      <alignment horizontal="left" vertical="top"/>
    </xf>
    <xf numFmtId="0" fontId="39" fillId="19" borderId="5" xfId="0" applyFont="1" applyFill="1" applyBorder="1" applyAlignment="1">
      <alignment horizontal="left" vertical="top"/>
    </xf>
    <xf numFmtId="0" fontId="39" fillId="19" borderId="58" xfId="0" applyFont="1" applyFill="1" applyBorder="1" applyAlignment="1">
      <alignment horizontal="left" vertical="top" wrapText="1"/>
    </xf>
    <xf numFmtId="0" fontId="39" fillId="19" borderId="59" xfId="0" applyFont="1" applyFill="1" applyBorder="1" applyAlignment="1">
      <alignment horizontal="left" vertical="top" wrapText="1"/>
    </xf>
    <xf numFmtId="0" fontId="39" fillId="19" borderId="60" xfId="0" applyFont="1" applyFill="1" applyBorder="1" applyAlignment="1">
      <alignment horizontal="left" vertical="top" wrapText="1"/>
    </xf>
    <xf numFmtId="0" fontId="39" fillId="19" borderId="61" xfId="0" applyFont="1" applyFill="1" applyBorder="1" applyAlignment="1">
      <alignment horizontal="left" vertical="top" wrapText="1"/>
    </xf>
    <xf numFmtId="0" fontId="39" fillId="19" borderId="62" xfId="0" applyFont="1" applyFill="1" applyBorder="1" applyAlignment="1">
      <alignment horizontal="left" vertical="top" wrapText="1"/>
    </xf>
    <xf numFmtId="0" fontId="39" fillId="19" borderId="63" xfId="0" applyFont="1" applyFill="1" applyBorder="1" applyAlignment="1">
      <alignment horizontal="left" vertical="top" wrapText="1"/>
    </xf>
    <xf numFmtId="0" fontId="39" fillId="19" borderId="64" xfId="0" applyFont="1" applyFill="1" applyBorder="1" applyAlignment="1">
      <alignment horizontal="left" vertical="top" wrapText="1"/>
    </xf>
    <xf numFmtId="0" fontId="39" fillId="19" borderId="65" xfId="0" applyFont="1" applyFill="1" applyBorder="1" applyAlignment="1">
      <alignment horizontal="left" vertical="top" wrapText="1"/>
    </xf>
    <xf numFmtId="0" fontId="5" fillId="7" borderId="3" xfId="0" applyFont="1" applyFill="1" applyBorder="1" applyAlignment="1">
      <alignment horizontal="center"/>
    </xf>
    <xf numFmtId="0" fontId="5" fillId="7" borderId="4" xfId="0" applyFont="1" applyFill="1" applyBorder="1" applyAlignment="1">
      <alignment horizontal="center"/>
    </xf>
    <xf numFmtId="0" fontId="5" fillId="7" borderId="5" xfId="0" applyFont="1" applyFill="1" applyBorder="1" applyAlignment="1">
      <alignment horizontal="center"/>
    </xf>
    <xf numFmtId="0" fontId="6" fillId="0" borderId="0" xfId="0" applyFont="1" applyAlignment="1">
      <alignment horizontal="center"/>
    </xf>
    <xf numFmtId="0" fontId="2" fillId="0" borderId="6" xfId="0" applyNumberFormat="1" applyFont="1" applyBorder="1" applyAlignment="1">
      <alignment horizontal="left"/>
    </xf>
    <xf numFmtId="0" fontId="2" fillId="0" borderId="8" xfId="0" applyNumberFormat="1" applyFont="1" applyBorder="1" applyAlignment="1">
      <alignment horizontal="left"/>
    </xf>
    <xf numFmtId="0" fontId="2" fillId="0" borderId="2" xfId="0" applyNumberFormat="1" applyFont="1" applyBorder="1" applyAlignment="1">
      <alignment horizontal="left"/>
    </xf>
    <xf numFmtId="0" fontId="5" fillId="16" borderId="22" xfId="0" applyFont="1" applyFill="1" applyBorder="1" applyAlignment="1">
      <alignment horizontal="center"/>
    </xf>
    <xf numFmtId="0" fontId="5" fillId="16" borderId="0" xfId="0" applyFont="1" applyFill="1" applyBorder="1" applyAlignment="1">
      <alignment horizontal="center"/>
    </xf>
  </cellXfs>
  <cellStyles count="3">
    <cellStyle name="Comma" xfId="1" builtinId="3"/>
    <cellStyle name="Normal" xfId="0" builtinId="0"/>
    <cellStyle name="Per cent" xfId="2" builtinId="5"/>
  </cellStyles>
  <dxfs count="47">
    <dxf>
      <font>
        <b val="0"/>
        <i val="0"/>
        <strike val="0"/>
        <condense val="0"/>
        <extend val="0"/>
        <outline val="0"/>
        <shadow val="0"/>
        <u val="none"/>
        <vertAlign val="baseline"/>
        <sz val="10"/>
        <color auto="1"/>
        <name val="Roboto"/>
        <scheme val="none"/>
      </font>
      <numFmt numFmtId="166" formatCode="[$€-2]\ #,##0.00"/>
      <fill>
        <patternFill patternType="solid">
          <fgColor indexed="64"/>
          <bgColor theme="0"/>
        </patternFill>
      </fill>
      <alignment horizontal="right" vertical="bottom" textRotation="0" wrapText="0" indent="0" justifyLastLine="0" shrinkToFit="0" readingOrder="0"/>
      <border diagonalUp="0" diagonalDown="0">
        <left style="thin">
          <color theme="0" tint="-0.14996795556505021"/>
        </left>
        <right/>
        <top style="thin">
          <color theme="0" tint="-0.14996795556505021"/>
        </top>
        <bottom style="thin">
          <color theme="0" tint="-0.14996795556505021"/>
        </bottom>
        <vertical/>
        <horizontal/>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166" formatCode="[$€-2]\ #,##0.00"/>
      <fill>
        <patternFill patternType="none">
          <fgColor indexed="64"/>
          <bgColor theme="0"/>
        </patternFill>
      </fill>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fill>
        <patternFill patternType="none">
          <fgColor indexed="64"/>
          <bgColor theme="0"/>
        </patternFill>
      </fill>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fill>
        <patternFill patternType="none">
          <fgColor indexed="64"/>
          <bgColor theme="0"/>
        </patternFill>
      </fill>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fill>
        <patternFill patternType="solid">
          <fgColor indexed="64"/>
          <bgColor theme="0"/>
        </patternFill>
      </fill>
      <alignment horizontal="center" vertical="bottom" textRotation="0" wrapText="0" indent="0" justifyLastLine="0" shrinkToFit="0" readingOrder="0"/>
      <border diagonalUp="0" diagonalDown="0" outline="0">
        <left style="thin">
          <color theme="0" tint="-0.14996795556505021"/>
        </left>
        <right style="thin">
          <color theme="0" tint="-0.14996795556505021"/>
        </right>
        <top style="thin">
          <color theme="0" tint="-0.14996795556505021"/>
        </top>
        <bottom style="double">
          <color indexed="64"/>
        </bottom>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Roboto"/>
        <scheme val="none"/>
      </font>
      <numFmt numFmtId="0" formatCode="General"/>
      <fill>
        <patternFill patternType="none">
          <fgColor indexed="64"/>
          <bgColor theme="0"/>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Roboto"/>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8"/>
        <color auto="1"/>
        <name val="Roboto"/>
        <scheme val="none"/>
      </font>
      <numFmt numFmtId="166" formatCode="[$€-2]\ #,##0.00"/>
      <alignment horizontal="right" vertical="bottom" textRotation="0" wrapText="0"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166" formatCode="[$€-2]\ #,##0.00"/>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166" formatCode="[$€-2]\ #,##0.00"/>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166" formatCode="[$€-2]\ #,##0.00"/>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166" formatCode="[$€-2]\ #,##0.00"/>
      <alignment horizontal="righ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0" formatCode="General"/>
      <alignment horizontal="center" vertical="bottom"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numFmt numFmtId="0" formatCode="General"/>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8"/>
        <color auto="1"/>
        <name val="Roboto"/>
        <scheme val="none"/>
      </font>
      <alignment horizontal="right" vertical="bottom" textRotation="0" wrapText="0" indent="0" justifyLastLine="0" shrinkToFit="0" readingOrder="0"/>
    </dxf>
    <dxf>
      <font>
        <b/>
        <i val="0"/>
        <strike val="0"/>
        <condense val="0"/>
        <extend val="0"/>
        <outline val="0"/>
        <shadow val="0"/>
        <u val="none"/>
        <vertAlign val="baseline"/>
        <sz val="10"/>
        <color auto="1"/>
        <name val="Roboto"/>
        <scheme val="none"/>
      </font>
      <numFmt numFmtId="30" formatCode="@"/>
      <fill>
        <patternFill patternType="solid">
          <fgColor indexed="64"/>
          <bgColor theme="0" tint="-0.14999847407452621"/>
        </patternFill>
      </fill>
      <alignment horizontal="center" vertical="bottom" textRotation="0" wrapText="0" indent="0" justifyLastLine="0" shrinkToFit="0" readingOrder="0"/>
      <border diagonalUp="0" diagonalDown="0" outline="0">
        <left style="thin">
          <color theme="0" tint="-0.24994659260841701"/>
        </left>
        <right style="thin">
          <color theme="0" tint="-0.24994659260841701"/>
        </right>
        <top/>
        <bottom/>
      </border>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14"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b/>
        <strike val="0"/>
        <outline val="0"/>
        <shadow val="0"/>
        <u val="none"/>
        <vertAlign val="baseline"/>
        <sz val="8"/>
        <name val="Microsoft Sans Serif"/>
        <family val="2"/>
        <scheme val="none"/>
      </font>
      <numFmt numFmtId="0" formatCode="General"/>
      <alignment horizontal="lef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fill>
        <patternFill patternType="solid">
          <fgColor indexed="64"/>
          <bgColor theme="8" tint="0.79998168889431442"/>
        </patternFill>
      </fill>
      <alignment horizontal="center" vertical="top" textRotation="0" wrapText="1" indent="0" justifyLastLine="0" shrinkToFit="0" readingOrder="0"/>
    </dxf>
    <dxf>
      <font>
        <color rgb="FFFF0000"/>
      </font>
      <numFmt numFmtId="2" formatCode="0.0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14"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b/>
        <strike val="0"/>
        <outline val="0"/>
        <shadow val="0"/>
        <u val="none"/>
        <vertAlign val="baseline"/>
        <sz val="8"/>
        <name val="Microsoft Sans Serif"/>
        <family val="2"/>
        <scheme val="none"/>
      </font>
      <numFmt numFmtId="0" formatCode="General"/>
      <alignment horizontal="left" vertical="bottom" textRotation="0" wrapText="0" indent="0" justifyLastLine="0" shrinkToFit="0" readingOrder="0"/>
    </dxf>
    <dxf>
      <font>
        <strike val="0"/>
        <outline val="0"/>
        <shadow val="0"/>
        <u val="none"/>
        <vertAlign val="baseline"/>
        <sz val="8"/>
        <name val="Microsoft Sans Serif"/>
        <family val="2"/>
        <scheme val="none"/>
      </font>
      <numFmt numFmtId="2" formatCode="0.00"/>
      <alignment horizontal="right" vertical="bottom" textRotation="0" wrapText="0" indent="0" justifyLastLine="0" shrinkToFit="0" readingOrder="0"/>
    </dxf>
    <dxf>
      <font>
        <strike val="0"/>
        <outline val="0"/>
        <shadow val="0"/>
        <u val="none"/>
        <vertAlign val="baseline"/>
        <sz val="8"/>
        <name val="Microsoft Sans Serif"/>
        <family val="2"/>
        <scheme val="none"/>
      </font>
      <fill>
        <patternFill patternType="solid">
          <fgColor indexed="64"/>
          <bgColor theme="8" tint="0.79998168889431442"/>
        </patternFill>
      </fill>
      <alignment horizontal="center" vertical="top" textRotation="0" wrapText="1" indent="0" justifyLastLine="0" shrinkToFit="0" readingOrder="0"/>
    </dxf>
    <dxf>
      <font>
        <color rgb="FFFF0000"/>
      </font>
      <numFmt numFmtId="2" formatCode="0.00"/>
    </dxf>
  </dxfs>
  <tableStyles count="0" defaultTableStyle="TableStyleMedium2" defaultPivotStyle="PivotStyleLight16"/>
  <colors>
    <mruColors>
      <color rgb="FF0044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18"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Drop" dropLines="30" dropStyle="combo" dx="22" fmlaLink="$AQ$10" fmlaRange="TA_Salary_Grade" noThreeD="1" sel="23" val="0"/>
</file>

<file path=xl/ctrlProps/ctrlProp10.xml><?xml version="1.0" encoding="utf-8"?>
<formControlPr xmlns="http://schemas.microsoft.com/office/spreadsheetml/2009/9/main" objectType="Drop" dropStyle="combo" dx="22" fmlaLink="$AQ$16" fmlaRange="DependChild" noThreeD="1" sel="1" val="0"/>
</file>

<file path=xl/ctrlProps/ctrlProp11.xml><?xml version="1.0" encoding="utf-8"?>
<formControlPr xmlns="http://schemas.microsoft.com/office/spreadsheetml/2009/9/main" objectType="Drop" dropStyle="combo" dx="22" fmlaLink="$AQ$18" fmlaRange="DependChild" noThreeD="1" sel="1" val="0"/>
</file>

<file path=xl/ctrlProps/ctrlProp12.xml><?xml version="1.0" encoding="utf-8"?>
<formControlPr xmlns="http://schemas.microsoft.com/office/spreadsheetml/2009/9/main" objectType="Drop" dropStyle="combo" dx="22" fmlaLink="$AQ$19" fmlaRange="DependChild" noThreeD="1" sel="1" val="0"/>
</file>

<file path=xl/ctrlProps/ctrlProp13.xml><?xml version="1.0" encoding="utf-8"?>
<formControlPr xmlns="http://schemas.microsoft.com/office/spreadsheetml/2009/9/main" objectType="Drop" dropStyle="combo" dx="22" fmlaLink="$AQ$21" fmlaRange="DependChild" noThreeD="1" sel="1" val="0"/>
</file>

<file path=xl/ctrlProps/ctrlProp14.xml><?xml version="1.0" encoding="utf-8"?>
<formControlPr xmlns="http://schemas.microsoft.com/office/spreadsheetml/2009/9/main" objectType="Drop" dropStyle="combo" dx="22" fmlaLink="$AQ$25" fmlaRange="DependChild" noThreeD="1" sel="1" val="0"/>
</file>

<file path=xl/ctrlProps/ctrlProp15.xml><?xml version="1.0" encoding="utf-8"?>
<formControlPr xmlns="http://schemas.microsoft.com/office/spreadsheetml/2009/9/main" objectType="Drop" dropLines="15" dropStyle="combo" dx="22" fmlaLink="$AQ$46" fmlaRange="Country" noThreeD="1" sel="8" val="0"/>
</file>

<file path=xl/ctrlProps/ctrlProp16.xml><?xml version="1.0" encoding="utf-8"?>
<formControlPr xmlns="http://schemas.microsoft.com/office/spreadsheetml/2009/9/main" objectType="Drop" dropStyle="combo" dx="22" fmlaLink="$AQ$23" fmlaRange="DependChild" noThreeD="1" sel="1" val="0"/>
</file>

<file path=xl/ctrlProps/ctrlProp17.xml><?xml version="1.0" encoding="utf-8"?>
<formControlPr xmlns="http://schemas.microsoft.com/office/spreadsheetml/2009/9/main" objectType="Drop" dropStyle="combo" dx="22" fmlaLink="$AQ$27" fmlaRange="DependChild" noThreeD="1" sel="1" val="0"/>
</file>

<file path=xl/ctrlProps/ctrlProp18.xml><?xml version="1.0" encoding="utf-8"?>
<formControlPr xmlns="http://schemas.microsoft.com/office/spreadsheetml/2009/9/main" objectType="Radio" firstButton="1" fmlaLink="$AU$10"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Drop" dropStyle="combo" dx="22" fmlaLink="$AQ$11" fmlaRange="TA_Steps" noThreeD="1" sel="1" val="0"/>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checked="Checked" lockText="1" noThreeD="1"/>
</file>

<file path=xl/ctrlProps/ctrlProp22.xml><?xml version="1.0" encoding="utf-8"?>
<formControlPr xmlns="http://schemas.microsoft.com/office/spreadsheetml/2009/9/main" objectType="Drop" dropStyle="combo" dx="22" fmlaLink="$AQ$16" fmlaRange="DependChild" noThreeD="1" sel="1" val="0"/>
</file>

<file path=xl/ctrlProps/ctrlProp23.xml><?xml version="1.0" encoding="utf-8"?>
<formControlPr xmlns="http://schemas.microsoft.com/office/spreadsheetml/2009/9/main" objectType="Drop" dropStyle="combo" dx="22" fmlaLink="$AQ$18" fmlaRange="DependChild" noThreeD="1" sel="1" val="0"/>
</file>

<file path=xl/ctrlProps/ctrlProp24.xml><?xml version="1.0" encoding="utf-8"?>
<formControlPr xmlns="http://schemas.microsoft.com/office/spreadsheetml/2009/9/main" objectType="Drop" dropStyle="combo" dx="22" fmlaLink="$AQ$19" fmlaRange="DependChild" noThreeD="1" sel="1" val="0"/>
</file>

<file path=xl/ctrlProps/ctrlProp25.xml><?xml version="1.0" encoding="utf-8"?>
<formControlPr xmlns="http://schemas.microsoft.com/office/spreadsheetml/2009/9/main" objectType="Drop" dropStyle="combo" dx="22" fmlaLink="$AQ$21" fmlaRange="DependChild" noThreeD="1" sel="1" val="0"/>
</file>

<file path=xl/ctrlProps/ctrlProp26.xml><?xml version="1.0" encoding="utf-8"?>
<formControlPr xmlns="http://schemas.microsoft.com/office/spreadsheetml/2009/9/main" objectType="Drop" dropStyle="combo" dx="22" fmlaLink="$AQ$25" fmlaRange="DependChild" noThreeD="1" sel="1" val="0"/>
</file>

<file path=xl/ctrlProps/ctrlProp27.xml><?xml version="1.0" encoding="utf-8"?>
<formControlPr xmlns="http://schemas.microsoft.com/office/spreadsheetml/2009/9/main" objectType="Drop" dropLines="20" dropStyle="combo" dx="22" fmlaLink="$AQ$10" fmlaRange="CA_SalaryGrade" noThreeD="1" sel="18" val="0"/>
</file>

<file path=xl/ctrlProps/ctrlProp28.xml><?xml version="1.0" encoding="utf-8"?>
<formControlPr xmlns="http://schemas.microsoft.com/office/spreadsheetml/2009/9/main" objectType="Drop" dropStyle="combo" dx="22" fmlaLink="$AQ$11" fmlaRange="CA_Steps" noThreeD="1" sel="1" val="0"/>
</file>

<file path=xl/ctrlProps/ctrlProp3.xml><?xml version="1.0" encoding="utf-8"?>
<formControlPr xmlns="http://schemas.microsoft.com/office/spreadsheetml/2009/9/main" objectType="Drop" dropLines="15" dropStyle="combo" dx="22" fmlaLink="$AQ$46" fmlaRange="Country" noThreeD="1" sel="8" val="0"/>
</file>

<file path=xl/ctrlProps/ctrlProp4.xml><?xml version="1.0" encoding="utf-8"?>
<formControlPr xmlns="http://schemas.microsoft.com/office/spreadsheetml/2009/9/main" objectType="Drop" dropStyle="combo" dx="22" fmlaLink="$AQ$23" fmlaRange="DependChild" noThreeD="1" sel="1" val="0"/>
</file>

<file path=xl/ctrlProps/ctrlProp5.xml><?xml version="1.0" encoding="utf-8"?>
<formControlPr xmlns="http://schemas.microsoft.com/office/spreadsheetml/2009/9/main" objectType="Drop" dropStyle="combo" dx="22" fmlaLink="$AQ$27" fmlaRange="DependChild" noThreeD="1" sel="1" val="0"/>
</file>

<file path=xl/ctrlProps/ctrlProp6.xml><?xml version="1.0" encoding="utf-8"?>
<formControlPr xmlns="http://schemas.microsoft.com/office/spreadsheetml/2009/9/main" objectType="Radio" firstButton="1" fmlaLink="$AU$10"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314325</xdr:colOff>
          <xdr:row>9</xdr:row>
          <xdr:rowOff>152400</xdr:rowOff>
        </xdr:to>
        <xdr:sp macro="" textlink="">
          <xdr:nvSpPr>
            <xdr:cNvPr id="15361" name="Drop Down 1" hidden="1">
              <a:extLst>
                <a:ext uri="{63B3BB69-23CF-44E3-9099-C40C66FF867C}">
                  <a14:compatExt spid="_x0000_s15361"/>
                </a:ext>
                <a:ext uri="{FF2B5EF4-FFF2-40B4-BE49-F238E27FC236}">
                  <a16:creationId xmlns:a16="http://schemas.microsoft.com/office/drawing/2014/main" id="{00000000-0008-0000-0000-00000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xdr:row>
          <xdr:rowOff>47625</xdr:rowOff>
        </xdr:from>
        <xdr:to>
          <xdr:col>7</xdr:col>
          <xdr:colOff>314325</xdr:colOff>
          <xdr:row>11</xdr:row>
          <xdr:rowOff>76200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0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428625</xdr:colOff>
          <xdr:row>44</xdr:row>
          <xdr:rowOff>133350</xdr:rowOff>
        </xdr:from>
        <xdr:to>
          <xdr:col>16</xdr:col>
          <xdr:colOff>390525</xdr:colOff>
          <xdr:row>46</xdr:row>
          <xdr:rowOff>66675</xdr:rowOff>
        </xdr:to>
        <xdr:sp macro="" textlink="">
          <xdr:nvSpPr>
            <xdr:cNvPr id="15363" name="Drop Down 3" hidden="1">
              <a:extLst>
                <a:ext uri="{63B3BB69-23CF-44E3-9099-C40C66FF867C}">
                  <a14:compatExt spid="_x0000_s15363"/>
                </a:ext>
                <a:ext uri="{FF2B5EF4-FFF2-40B4-BE49-F238E27FC236}">
                  <a16:creationId xmlns:a16="http://schemas.microsoft.com/office/drawing/2014/main" id="{00000000-0008-0000-0000-000003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22</xdr:row>
          <xdr:rowOff>66675</xdr:rowOff>
        </xdr:from>
        <xdr:to>
          <xdr:col>16</xdr:col>
          <xdr:colOff>419100</xdr:colOff>
          <xdr:row>23</xdr:row>
          <xdr:rowOff>95250</xdr:rowOff>
        </xdr:to>
        <xdr:sp macro="" textlink="">
          <xdr:nvSpPr>
            <xdr:cNvPr id="15364" name="Drop Down 4" hidden="1">
              <a:extLst>
                <a:ext uri="{63B3BB69-23CF-44E3-9099-C40C66FF867C}">
                  <a14:compatExt spid="_x0000_s15364"/>
                </a:ext>
                <a:ext uri="{FF2B5EF4-FFF2-40B4-BE49-F238E27FC236}">
                  <a16:creationId xmlns:a16="http://schemas.microsoft.com/office/drawing/2014/main" id="{00000000-0008-0000-0000-00000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26</xdr:row>
          <xdr:rowOff>66675</xdr:rowOff>
        </xdr:from>
        <xdr:to>
          <xdr:col>16</xdr:col>
          <xdr:colOff>419100</xdr:colOff>
          <xdr:row>27</xdr:row>
          <xdr:rowOff>95250</xdr:rowOff>
        </xdr:to>
        <xdr:sp macro="" textlink="">
          <xdr:nvSpPr>
            <xdr:cNvPr id="15365" name="Drop Down 5" hidden="1">
              <a:extLst>
                <a:ext uri="{63B3BB69-23CF-44E3-9099-C40C66FF867C}">
                  <a14:compatExt spid="_x0000_s15365"/>
                </a:ext>
                <a:ext uri="{FF2B5EF4-FFF2-40B4-BE49-F238E27FC236}">
                  <a16:creationId xmlns:a16="http://schemas.microsoft.com/office/drawing/2014/main" id="{00000000-0008-0000-0000-00000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9</xdr:row>
          <xdr:rowOff>114300</xdr:rowOff>
        </xdr:from>
        <xdr:to>
          <xdr:col>38</xdr:col>
          <xdr:colOff>314325</xdr:colOff>
          <xdr:row>11</xdr:row>
          <xdr:rowOff>28575</xdr:rowOff>
        </xdr:to>
        <xdr:sp macro="" textlink="">
          <xdr:nvSpPr>
            <xdr:cNvPr id="15366" name="Option Button 6" descr="Yes" hidden="1">
              <a:extLst>
                <a:ext uri="{63B3BB69-23CF-44E3-9099-C40C66FF867C}">
                  <a14:compatExt spid="_x0000_s15366"/>
                </a:ext>
                <a:ext uri="{FF2B5EF4-FFF2-40B4-BE49-F238E27FC236}">
                  <a16:creationId xmlns:a16="http://schemas.microsoft.com/office/drawing/2014/main" id="{00000000-0008-0000-00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12</xdr:row>
          <xdr:rowOff>95250</xdr:rowOff>
        </xdr:from>
        <xdr:to>
          <xdr:col>38</xdr:col>
          <xdr:colOff>314325</xdr:colOff>
          <xdr:row>14</xdr:row>
          <xdr:rowOff>9525</xdr:rowOff>
        </xdr:to>
        <xdr:sp macro="" textlink="">
          <xdr:nvSpPr>
            <xdr:cNvPr id="15367" name="Option Button 7" hidden="1">
              <a:extLst>
                <a:ext uri="{63B3BB69-23CF-44E3-9099-C40C66FF867C}">
                  <a14:compatExt spid="_x0000_s15367"/>
                </a:ext>
                <a:ext uri="{FF2B5EF4-FFF2-40B4-BE49-F238E27FC236}">
                  <a16:creationId xmlns:a16="http://schemas.microsoft.com/office/drawing/2014/main" id="{00000000-0008-0000-00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2</a:t>
              </a:r>
            </a:p>
          </xdr:txBody>
        </xdr:sp>
        <xdr:clientData fLocksWithSheet="0"/>
      </xdr:twoCellAnchor>
    </mc:Choice>
    <mc:Fallback/>
  </mc:AlternateContent>
  <xdr:twoCellAnchor editAs="oneCell">
    <xdr:from>
      <xdr:col>8</xdr:col>
      <xdr:colOff>133350</xdr:colOff>
      <xdr:row>2</xdr:row>
      <xdr:rowOff>19050</xdr:rowOff>
    </xdr:from>
    <xdr:to>
      <xdr:col>13</xdr:col>
      <xdr:colOff>400050</xdr:colOff>
      <xdr:row>5</xdr:row>
      <xdr:rowOff>59095</xdr:rowOff>
    </xdr:to>
    <xdr:pic>
      <xdr:nvPicPr>
        <xdr:cNvPr id="9" name="Picture 8">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00325" y="95250"/>
          <a:ext cx="2505075" cy="421045"/>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37</xdr:col>
          <xdr:colOff>9525</xdr:colOff>
          <xdr:row>15</xdr:row>
          <xdr:rowOff>123825</xdr:rowOff>
        </xdr:from>
        <xdr:to>
          <xdr:col>38</xdr:col>
          <xdr:colOff>314325</xdr:colOff>
          <xdr:row>17</xdr:row>
          <xdr:rowOff>38100</xdr:rowOff>
        </xdr:to>
        <xdr:sp macro="" textlink="">
          <xdr:nvSpPr>
            <xdr:cNvPr id="15368" name="Option Button 8" descr="Yes" hidden="1">
              <a:extLst>
                <a:ext uri="{63B3BB69-23CF-44E3-9099-C40C66FF867C}">
                  <a14:compatExt spid="_x0000_s15368"/>
                </a:ext>
                <a:ext uri="{FF2B5EF4-FFF2-40B4-BE49-F238E27FC236}">
                  <a16:creationId xmlns:a16="http://schemas.microsoft.com/office/drawing/2014/main" id="{00000000-0008-0000-00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xdr:row>
          <xdr:rowOff>38100</xdr:rowOff>
        </xdr:from>
        <xdr:to>
          <xdr:col>38</xdr:col>
          <xdr:colOff>314325</xdr:colOff>
          <xdr:row>19</xdr:row>
          <xdr:rowOff>104775</xdr:rowOff>
        </xdr:to>
        <xdr:sp macro="" textlink="">
          <xdr:nvSpPr>
            <xdr:cNvPr id="15369" name="Option Button 9" hidden="1">
              <a:extLst>
                <a:ext uri="{63B3BB69-23CF-44E3-9099-C40C66FF867C}">
                  <a14:compatExt spid="_x0000_s15369"/>
                </a:ext>
                <a:ext uri="{FF2B5EF4-FFF2-40B4-BE49-F238E27FC236}">
                  <a16:creationId xmlns:a16="http://schemas.microsoft.com/office/drawing/2014/main" id="{00000000-0008-0000-00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4</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15</xdr:row>
          <xdr:rowOff>19050</xdr:rowOff>
        </xdr:from>
        <xdr:to>
          <xdr:col>13</xdr:col>
          <xdr:colOff>266700</xdr:colOff>
          <xdr:row>16</xdr:row>
          <xdr:rowOff>47625</xdr:rowOff>
        </xdr:to>
        <xdr:sp macro="" textlink="">
          <xdr:nvSpPr>
            <xdr:cNvPr id="15370" name="Drop Down 10" hidden="1">
              <a:extLst>
                <a:ext uri="{63B3BB69-23CF-44E3-9099-C40C66FF867C}">
                  <a14:compatExt spid="_x0000_s15370"/>
                </a:ext>
                <a:ext uri="{FF2B5EF4-FFF2-40B4-BE49-F238E27FC236}">
                  <a16:creationId xmlns:a16="http://schemas.microsoft.com/office/drawing/2014/main" id="{00000000-0008-0000-0000-00000A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16</xdr:row>
          <xdr:rowOff>76200</xdr:rowOff>
        </xdr:from>
        <xdr:to>
          <xdr:col>16</xdr:col>
          <xdr:colOff>419100</xdr:colOff>
          <xdr:row>17</xdr:row>
          <xdr:rowOff>104775</xdr:rowOff>
        </xdr:to>
        <xdr:sp macro="" textlink="">
          <xdr:nvSpPr>
            <xdr:cNvPr id="15371" name="Drop Down 11" hidden="1">
              <a:extLst>
                <a:ext uri="{63B3BB69-23CF-44E3-9099-C40C66FF867C}">
                  <a14:compatExt spid="_x0000_s15371"/>
                </a:ext>
                <a:ext uri="{FF2B5EF4-FFF2-40B4-BE49-F238E27FC236}">
                  <a16:creationId xmlns:a16="http://schemas.microsoft.com/office/drawing/2014/main" id="{00000000-0008-0000-0000-00000B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18</xdr:row>
          <xdr:rowOff>76200</xdr:rowOff>
        </xdr:from>
        <xdr:to>
          <xdr:col>16</xdr:col>
          <xdr:colOff>419100</xdr:colOff>
          <xdr:row>19</xdr:row>
          <xdr:rowOff>104775</xdr:rowOff>
        </xdr:to>
        <xdr:sp macro="" textlink="">
          <xdr:nvSpPr>
            <xdr:cNvPr id="15372" name="Drop Down 12" hidden="1">
              <a:extLst>
                <a:ext uri="{63B3BB69-23CF-44E3-9099-C40C66FF867C}">
                  <a14:compatExt spid="_x0000_s15372"/>
                </a:ext>
                <a:ext uri="{FF2B5EF4-FFF2-40B4-BE49-F238E27FC236}">
                  <a16:creationId xmlns:a16="http://schemas.microsoft.com/office/drawing/2014/main" id="{00000000-0008-0000-0000-00000C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20</xdr:row>
          <xdr:rowOff>76200</xdr:rowOff>
        </xdr:from>
        <xdr:to>
          <xdr:col>16</xdr:col>
          <xdr:colOff>419100</xdr:colOff>
          <xdr:row>21</xdr:row>
          <xdr:rowOff>95250</xdr:rowOff>
        </xdr:to>
        <xdr:sp macro="" textlink="">
          <xdr:nvSpPr>
            <xdr:cNvPr id="15373" name="Drop Down 13" hidden="1">
              <a:extLst>
                <a:ext uri="{63B3BB69-23CF-44E3-9099-C40C66FF867C}">
                  <a14:compatExt spid="_x0000_s15373"/>
                </a:ext>
                <a:ext uri="{FF2B5EF4-FFF2-40B4-BE49-F238E27FC236}">
                  <a16:creationId xmlns:a16="http://schemas.microsoft.com/office/drawing/2014/main" id="{00000000-0008-0000-0000-00000D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24</xdr:row>
          <xdr:rowOff>66675</xdr:rowOff>
        </xdr:from>
        <xdr:to>
          <xdr:col>16</xdr:col>
          <xdr:colOff>419100</xdr:colOff>
          <xdr:row>25</xdr:row>
          <xdr:rowOff>95250</xdr:rowOff>
        </xdr:to>
        <xdr:sp macro="" textlink="">
          <xdr:nvSpPr>
            <xdr:cNvPr id="15374" name="Drop Down 14" hidden="1">
              <a:extLst>
                <a:ext uri="{63B3BB69-23CF-44E3-9099-C40C66FF867C}">
                  <a14:compatExt spid="_x0000_s15374"/>
                </a:ext>
                <a:ext uri="{FF2B5EF4-FFF2-40B4-BE49-F238E27FC236}">
                  <a16:creationId xmlns:a16="http://schemas.microsoft.com/office/drawing/2014/main" id="{00000000-0008-0000-0000-00000E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28</xdr:col>
      <xdr:colOff>219075</xdr:colOff>
      <xdr:row>2</xdr:row>
      <xdr:rowOff>19050</xdr:rowOff>
    </xdr:from>
    <xdr:to>
      <xdr:col>34</xdr:col>
      <xdr:colOff>38100</xdr:colOff>
      <xdr:row>5</xdr:row>
      <xdr:rowOff>59095</xdr:rowOff>
    </xdr:to>
    <xdr:pic>
      <xdr:nvPicPr>
        <xdr:cNvPr id="17" name="Picture 16">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306050" y="95250"/>
          <a:ext cx="2505075" cy="421045"/>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428625</xdr:colOff>
          <xdr:row>44</xdr:row>
          <xdr:rowOff>133350</xdr:rowOff>
        </xdr:from>
        <xdr:to>
          <xdr:col>16</xdr:col>
          <xdr:colOff>390525</xdr:colOff>
          <xdr:row>46</xdr:row>
          <xdr:rowOff>66675</xdr:rowOff>
        </xdr:to>
        <xdr:sp macro="" textlink="">
          <xdr:nvSpPr>
            <xdr:cNvPr id="18435" name="Drop Down 3" hidden="1">
              <a:extLst>
                <a:ext uri="{63B3BB69-23CF-44E3-9099-C40C66FF867C}">
                  <a14:compatExt spid="_x0000_s18435"/>
                </a:ext>
                <a:ext uri="{FF2B5EF4-FFF2-40B4-BE49-F238E27FC236}">
                  <a16:creationId xmlns:a16="http://schemas.microsoft.com/office/drawing/2014/main" id="{00000000-0008-0000-0200-000003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22</xdr:row>
          <xdr:rowOff>66675</xdr:rowOff>
        </xdr:from>
        <xdr:to>
          <xdr:col>16</xdr:col>
          <xdr:colOff>419100</xdr:colOff>
          <xdr:row>23</xdr:row>
          <xdr:rowOff>95250</xdr:rowOff>
        </xdr:to>
        <xdr:sp macro="" textlink="">
          <xdr:nvSpPr>
            <xdr:cNvPr id="18436" name="Drop Down 4" hidden="1">
              <a:extLst>
                <a:ext uri="{63B3BB69-23CF-44E3-9099-C40C66FF867C}">
                  <a14:compatExt spid="_x0000_s18436"/>
                </a:ext>
                <a:ext uri="{FF2B5EF4-FFF2-40B4-BE49-F238E27FC236}">
                  <a16:creationId xmlns:a16="http://schemas.microsoft.com/office/drawing/2014/main" id="{00000000-0008-0000-0200-000004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26</xdr:row>
          <xdr:rowOff>66675</xdr:rowOff>
        </xdr:from>
        <xdr:to>
          <xdr:col>16</xdr:col>
          <xdr:colOff>419100</xdr:colOff>
          <xdr:row>27</xdr:row>
          <xdr:rowOff>95250</xdr:rowOff>
        </xdr:to>
        <xdr:sp macro="" textlink="">
          <xdr:nvSpPr>
            <xdr:cNvPr id="18437" name="Drop Down 5" hidden="1">
              <a:extLst>
                <a:ext uri="{63B3BB69-23CF-44E3-9099-C40C66FF867C}">
                  <a14:compatExt spid="_x0000_s18437"/>
                </a:ext>
                <a:ext uri="{FF2B5EF4-FFF2-40B4-BE49-F238E27FC236}">
                  <a16:creationId xmlns:a16="http://schemas.microsoft.com/office/drawing/2014/main" id="{00000000-0008-0000-0200-000005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9</xdr:row>
          <xdr:rowOff>114300</xdr:rowOff>
        </xdr:from>
        <xdr:to>
          <xdr:col>38</xdr:col>
          <xdr:colOff>314325</xdr:colOff>
          <xdr:row>11</xdr:row>
          <xdr:rowOff>28575</xdr:rowOff>
        </xdr:to>
        <xdr:sp macro="" textlink="">
          <xdr:nvSpPr>
            <xdr:cNvPr id="18438" name="Option Button 6" descr="Yes" hidden="1">
              <a:extLst>
                <a:ext uri="{63B3BB69-23CF-44E3-9099-C40C66FF867C}">
                  <a14:compatExt spid="_x0000_s18438"/>
                </a:ext>
                <a:ext uri="{FF2B5EF4-FFF2-40B4-BE49-F238E27FC236}">
                  <a16:creationId xmlns:a16="http://schemas.microsoft.com/office/drawing/2014/main" id="{00000000-0008-0000-02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12</xdr:row>
          <xdr:rowOff>95250</xdr:rowOff>
        </xdr:from>
        <xdr:to>
          <xdr:col>38</xdr:col>
          <xdr:colOff>314325</xdr:colOff>
          <xdr:row>14</xdr:row>
          <xdr:rowOff>9525</xdr:rowOff>
        </xdr:to>
        <xdr:sp macro="" textlink="">
          <xdr:nvSpPr>
            <xdr:cNvPr id="18439" name="Option Button 7" hidden="1">
              <a:extLst>
                <a:ext uri="{63B3BB69-23CF-44E3-9099-C40C66FF867C}">
                  <a14:compatExt spid="_x0000_s18439"/>
                </a:ext>
                <a:ext uri="{FF2B5EF4-FFF2-40B4-BE49-F238E27FC236}">
                  <a16:creationId xmlns:a16="http://schemas.microsoft.com/office/drawing/2014/main" id="{00000000-0008-0000-02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2</a:t>
              </a:r>
            </a:p>
          </xdr:txBody>
        </xdr:sp>
        <xdr:clientData fLocksWithSheet="0"/>
      </xdr:twoCellAnchor>
    </mc:Choice>
    <mc:Fallback/>
  </mc:AlternateContent>
  <xdr:twoCellAnchor editAs="oneCell">
    <xdr:from>
      <xdr:col>8</xdr:col>
      <xdr:colOff>133350</xdr:colOff>
      <xdr:row>2</xdr:row>
      <xdr:rowOff>19050</xdr:rowOff>
    </xdr:from>
    <xdr:to>
      <xdr:col>13</xdr:col>
      <xdr:colOff>400050</xdr:colOff>
      <xdr:row>5</xdr:row>
      <xdr:rowOff>59095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00325" y="95250"/>
          <a:ext cx="2505075" cy="421045"/>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37</xdr:col>
          <xdr:colOff>9525</xdr:colOff>
          <xdr:row>15</xdr:row>
          <xdr:rowOff>123825</xdr:rowOff>
        </xdr:from>
        <xdr:to>
          <xdr:col>38</xdr:col>
          <xdr:colOff>314325</xdr:colOff>
          <xdr:row>17</xdr:row>
          <xdr:rowOff>38100</xdr:rowOff>
        </xdr:to>
        <xdr:sp macro="" textlink="">
          <xdr:nvSpPr>
            <xdr:cNvPr id="18440" name="Option Button 8" descr="Yes" hidden="1">
              <a:extLst>
                <a:ext uri="{63B3BB69-23CF-44E3-9099-C40C66FF867C}">
                  <a14:compatExt spid="_x0000_s18440"/>
                </a:ext>
                <a:ext uri="{FF2B5EF4-FFF2-40B4-BE49-F238E27FC236}">
                  <a16:creationId xmlns:a16="http://schemas.microsoft.com/office/drawing/2014/main" id="{00000000-0008-0000-02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18</xdr:row>
          <xdr:rowOff>38100</xdr:rowOff>
        </xdr:from>
        <xdr:to>
          <xdr:col>38</xdr:col>
          <xdr:colOff>314325</xdr:colOff>
          <xdr:row>19</xdr:row>
          <xdr:rowOff>104775</xdr:rowOff>
        </xdr:to>
        <xdr:sp macro="" textlink="">
          <xdr:nvSpPr>
            <xdr:cNvPr id="18441" name="Option Button 9" hidden="1">
              <a:extLst>
                <a:ext uri="{63B3BB69-23CF-44E3-9099-C40C66FF867C}">
                  <a14:compatExt spid="_x0000_s18441"/>
                </a:ext>
                <a:ext uri="{FF2B5EF4-FFF2-40B4-BE49-F238E27FC236}">
                  <a16:creationId xmlns:a16="http://schemas.microsoft.com/office/drawing/2014/main" id="{00000000-0008-0000-02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Option 4</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142875</xdr:colOff>
          <xdr:row>15</xdr:row>
          <xdr:rowOff>19050</xdr:rowOff>
        </xdr:from>
        <xdr:to>
          <xdr:col>13</xdr:col>
          <xdr:colOff>266700</xdr:colOff>
          <xdr:row>16</xdr:row>
          <xdr:rowOff>47625</xdr:rowOff>
        </xdr:to>
        <xdr:sp macro="" textlink="">
          <xdr:nvSpPr>
            <xdr:cNvPr id="18442" name="Drop Down 10" hidden="1">
              <a:extLst>
                <a:ext uri="{63B3BB69-23CF-44E3-9099-C40C66FF867C}">
                  <a14:compatExt spid="_x0000_s18442"/>
                </a:ext>
                <a:ext uri="{FF2B5EF4-FFF2-40B4-BE49-F238E27FC236}">
                  <a16:creationId xmlns:a16="http://schemas.microsoft.com/office/drawing/2014/main" id="{00000000-0008-0000-0200-00000A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16</xdr:row>
          <xdr:rowOff>76200</xdr:rowOff>
        </xdr:from>
        <xdr:to>
          <xdr:col>16</xdr:col>
          <xdr:colOff>419100</xdr:colOff>
          <xdr:row>17</xdr:row>
          <xdr:rowOff>104775</xdr:rowOff>
        </xdr:to>
        <xdr:sp macro="" textlink="">
          <xdr:nvSpPr>
            <xdr:cNvPr id="18443" name="Drop Down 11" hidden="1">
              <a:extLst>
                <a:ext uri="{63B3BB69-23CF-44E3-9099-C40C66FF867C}">
                  <a14:compatExt spid="_x0000_s18443"/>
                </a:ext>
                <a:ext uri="{FF2B5EF4-FFF2-40B4-BE49-F238E27FC236}">
                  <a16:creationId xmlns:a16="http://schemas.microsoft.com/office/drawing/2014/main" id="{00000000-0008-0000-0200-00000B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18</xdr:row>
          <xdr:rowOff>76200</xdr:rowOff>
        </xdr:from>
        <xdr:to>
          <xdr:col>16</xdr:col>
          <xdr:colOff>419100</xdr:colOff>
          <xdr:row>19</xdr:row>
          <xdr:rowOff>104775</xdr:rowOff>
        </xdr:to>
        <xdr:sp macro="" textlink="">
          <xdr:nvSpPr>
            <xdr:cNvPr id="18444" name="Drop Down 12" hidden="1">
              <a:extLst>
                <a:ext uri="{63B3BB69-23CF-44E3-9099-C40C66FF867C}">
                  <a14:compatExt spid="_x0000_s18444"/>
                </a:ext>
                <a:ext uri="{FF2B5EF4-FFF2-40B4-BE49-F238E27FC236}">
                  <a16:creationId xmlns:a16="http://schemas.microsoft.com/office/drawing/2014/main" id="{00000000-0008-0000-0200-00000C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20</xdr:row>
          <xdr:rowOff>76200</xdr:rowOff>
        </xdr:from>
        <xdr:to>
          <xdr:col>16</xdr:col>
          <xdr:colOff>419100</xdr:colOff>
          <xdr:row>21</xdr:row>
          <xdr:rowOff>95250</xdr:rowOff>
        </xdr:to>
        <xdr:sp macro="" textlink="">
          <xdr:nvSpPr>
            <xdr:cNvPr id="18445" name="Drop Down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295275</xdr:colOff>
          <xdr:row>24</xdr:row>
          <xdr:rowOff>66675</xdr:rowOff>
        </xdr:from>
        <xdr:to>
          <xdr:col>16</xdr:col>
          <xdr:colOff>419100</xdr:colOff>
          <xdr:row>25</xdr:row>
          <xdr:rowOff>95250</xdr:rowOff>
        </xdr:to>
        <xdr:sp macro="" textlink="">
          <xdr:nvSpPr>
            <xdr:cNvPr id="18446" name="Drop Down 14" hidden="1">
              <a:extLst>
                <a:ext uri="{63B3BB69-23CF-44E3-9099-C40C66FF867C}">
                  <a14:compatExt spid="_x0000_s18446"/>
                </a:ext>
                <a:ext uri="{FF2B5EF4-FFF2-40B4-BE49-F238E27FC236}">
                  <a16:creationId xmlns:a16="http://schemas.microsoft.com/office/drawing/2014/main" id="{00000000-0008-0000-0200-00000E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314325</xdr:colOff>
          <xdr:row>9</xdr:row>
          <xdr:rowOff>152400</xdr:rowOff>
        </xdr:to>
        <xdr:sp macro="" textlink="">
          <xdr:nvSpPr>
            <xdr:cNvPr id="18447" name="Drop Down 15" hidden="1">
              <a:extLst>
                <a:ext uri="{63B3BB69-23CF-44E3-9099-C40C66FF867C}">
                  <a14:compatExt spid="_x0000_s18447"/>
                </a:ext>
                <a:ext uri="{FF2B5EF4-FFF2-40B4-BE49-F238E27FC236}">
                  <a16:creationId xmlns:a16="http://schemas.microsoft.com/office/drawing/2014/main" id="{00000000-0008-0000-0200-00000F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10</xdr:row>
          <xdr:rowOff>47625</xdr:rowOff>
        </xdr:from>
        <xdr:to>
          <xdr:col>7</xdr:col>
          <xdr:colOff>314325</xdr:colOff>
          <xdr:row>11</xdr:row>
          <xdr:rowOff>76200</xdr:rowOff>
        </xdr:to>
        <xdr:sp macro="" textlink="">
          <xdr:nvSpPr>
            <xdr:cNvPr id="18448" name="Drop Down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28</xdr:col>
      <xdr:colOff>219075</xdr:colOff>
      <xdr:row>2</xdr:row>
      <xdr:rowOff>19050</xdr:rowOff>
    </xdr:from>
    <xdr:to>
      <xdr:col>34</xdr:col>
      <xdr:colOff>38100</xdr:colOff>
      <xdr:row>5</xdr:row>
      <xdr:rowOff>59095</xdr:rowOff>
    </xdr:to>
    <xdr:pic>
      <xdr:nvPicPr>
        <xdr:cNvPr id="18" name="Picture 17">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0306050" y="95250"/>
          <a:ext cx="2505075" cy="421045"/>
        </a:xfrm>
        <a:prstGeom prst="rect">
          <a:avLst/>
        </a:prstGeom>
        <a:solidFill>
          <a:schemeClr val="bg1"/>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EDF887-AF61-437F-AA69-939E09F763E5}" name="T_TA_Tax" displayName="T_TA_Tax" ref="B6:I21" totalsRowShown="0" headerRowDxfId="45" dataDxfId="44">
  <autoFilter ref="B6:I21" xr:uid="{D5EDF887-AF61-437F-AA69-939E09F763E5}"/>
  <tableColumns count="8">
    <tableColumn id="8" xr3:uid="{4290AF3B-1519-4B92-B1AA-38E30EA18FE0}" name="Order" dataDxfId="43"/>
    <tableColumn id="7" xr3:uid="{CC40C989-FE0C-44D9-8772-3FF516908838}" name="Year 1968" dataDxfId="42"/>
    <tableColumn id="1" xr3:uid="{E06C0AD1-9426-48D5-8827-C0D699A3A1A4}" name="From" dataDxfId="41"/>
    <tableColumn id="2" xr3:uid="{24242C3B-E9D1-49ED-8375-902D2E59F421}" name="To" dataDxfId="40"/>
    <tableColumn id="3" xr3:uid="{5935EE29-3531-4629-B366-B2672FBFB45A}" name="Salary_x000a_bracket" dataDxfId="39"/>
    <tableColumn id="4" xr3:uid="{514829FA-D16C-4E63-A423-D1FB411F4717}" name="Rate" dataDxfId="38" dataCellStyle="Per cent"/>
    <tableColumn id="5" xr3:uid="{4F186FFF-0036-4AEC-880B-403EDE202803}" name="Tax payable" dataDxfId="37"/>
    <tableColumn id="6" xr3:uid="{9CF7826C-2D8F-458A-B863-506F837B64E1}" name="Total Tax payable" dataDxfId="36"/>
  </tableColumns>
  <tableStyleInfo name="TableStyleLight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F26E070-8BF9-4D78-8865-AC24F1AE2740}" name="T_CA_Tax" displayName="T_CA_Tax" ref="B6:I21" totalsRowShown="0" headerRowDxfId="34" dataDxfId="33">
  <autoFilter ref="B6:I21" xr:uid="{D5EDF887-AF61-437F-AA69-939E09F763E5}"/>
  <tableColumns count="8">
    <tableColumn id="8" xr3:uid="{622EF61D-280F-4284-A3BD-489F5E95F5BB}" name="Order" dataDxfId="32"/>
    <tableColumn id="7" xr3:uid="{F8D01951-6D52-4C63-933E-701192FE4C1F}" name="Year 1968" dataDxfId="31"/>
    <tableColumn id="1" xr3:uid="{B390C5ED-759F-4CAF-B1DF-9CAACB1315DC}" name="From" dataDxfId="30"/>
    <tableColumn id="2" xr3:uid="{2DA9BDE3-DCB0-41FE-A960-3BEBE80654B8}" name="To" dataDxfId="29"/>
    <tableColumn id="3" xr3:uid="{5886118C-85D2-4341-9EB5-5C2767079365}" name="Salary_x000a_bracket" dataDxfId="28"/>
    <tableColumn id="4" xr3:uid="{9F87D712-E717-4936-9019-98FC712A8025}" name="Rate" dataDxfId="27" dataCellStyle="Per cent"/>
    <tableColumn id="5" xr3:uid="{F8A18F59-2C1F-4BB2-8101-65DDF174C2FE}" name="Tax payable" dataDxfId="26"/>
    <tableColumn id="6" xr3:uid="{F1B4364B-EDE7-4B6D-953A-7BED37C848FB}" name="Total Tax payable" dataDxfId="25"/>
  </tableColumns>
  <tableStyleInfo name="TableStyleLight2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37E7289-3981-4AD3-8192-5A3D76980B4F}" name="T_TA_salaries" displayName="T_TA_salaries" ref="B41:J70" totalsRowShown="0" headerRowDxfId="24" dataDxfId="23" tableBorderDxfId="22">
  <autoFilter ref="B41:J70" xr:uid="{437E7289-3981-4AD3-8192-5A3D76980B4F}"/>
  <tableColumns count="9">
    <tableColumn id="8" xr3:uid="{CE0A83FF-DA6C-40BB-92D0-0B6E893BF3C2}" name="Row" dataDxfId="21"/>
    <tableColumn id="9" xr3:uid="{BF8872C3-E986-456D-8613-D6E28012E585}" name="Simulator Group" dataDxfId="20"/>
    <tableColumn id="1" xr3:uid="{BC8C767B-C4DE-4B47-8DDD-AF8CC29C1DC4}" name="Function Group" dataDxfId="19"/>
    <tableColumn id="2" xr3:uid="{7D183E41-3786-40E3-AEA8-01A0B4718D02}" name="Grades" dataDxfId="18"/>
    <tableColumn id="3" xr3:uid="{374AF448-F971-4D42-947A-F2C03E7C1F91}" name="1" dataDxfId="17"/>
    <tableColumn id="4" xr3:uid="{5DAF2E90-BEE9-42F4-AA90-346F425C91AB}" name="2" dataDxfId="16"/>
    <tableColumn id="5" xr3:uid="{3188418A-8C3C-4610-B4D2-0746114E309D}" name="3" dataDxfId="15"/>
    <tableColumn id="6" xr3:uid="{6D17F8D3-944D-4132-ADCD-6AB52E20B455}" name="4" dataDxfId="14"/>
    <tableColumn id="7" xr3:uid="{A90CD229-8984-4C50-8DF9-4F7813EA4656}" name="5" dataDxfId="13"/>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6D94070-10F7-44FC-AA52-1D11C3BDBF76}" name="T_CA_Salaries" displayName="T_CA_Salaries" ref="B76:K94" totalsRowShown="0" headerRowDxfId="12" dataDxfId="11" tableBorderDxfId="10">
  <autoFilter ref="B76:K94" xr:uid="{06D94070-10F7-44FC-AA52-1D11C3BDBF76}"/>
  <tableColumns count="10">
    <tableColumn id="1" xr3:uid="{A8D36ED5-FD4A-41C5-A819-11AFBC5A6CB5}" name="Row" dataDxfId="9"/>
    <tableColumn id="2" xr3:uid="{B1B2A906-0BB7-4B7F-8B7C-09BB4CC1FF38}" name="Function Groups" dataDxfId="8"/>
    <tableColumn id="3" xr3:uid="{9EFD84F3-CC52-4A68-B3AB-C9C222F16A1D}" name="Grades" dataDxfId="7"/>
    <tableColumn id="4" xr3:uid="{8AC20846-00C2-42FD-84BB-E4C73E49306A}" name="1" dataDxfId="6"/>
    <tableColumn id="5" xr3:uid="{B3B4AB75-1481-4C2E-8066-4C379575BE59}" name="2" dataDxfId="5"/>
    <tableColumn id="6" xr3:uid="{EDB17EF2-B479-49E9-97B6-B2748541272E}" name="3" dataDxfId="4"/>
    <tableColumn id="7" xr3:uid="{B66D5126-E856-4480-AB62-14F3785A6D81}" name="4" dataDxfId="3"/>
    <tableColumn id="8" xr3:uid="{B461579E-B8C5-4181-8600-01854C4F7229}" name="5" dataDxfId="2"/>
    <tableColumn id="9" xr3:uid="{661D5B6F-BD1F-452B-BA6D-B1F573CCEA1C}" name="6" dataDxfId="1"/>
    <tableColumn id="10" xr3:uid="{96DA9746-46A4-42A9-BD8A-FD0BC33AE5BA}" name="7" dataDxfId="0"/>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3.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2.xml"/><Relationship Id="rId16" Type="http://schemas.openxmlformats.org/officeDocument/2006/relationships/ctrlProp" Target="../ctrlProps/ctrlProp27.xml"/><Relationship Id="rId1" Type="http://schemas.openxmlformats.org/officeDocument/2006/relationships/printerSettings" Target="../printerSettings/printerSettings3.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4B9F-CC91-4452-81BE-186EC740B19D}">
  <sheetPr>
    <tabColor rgb="FF92D050"/>
    <pageSetUpPr fitToPage="1"/>
  </sheetPr>
  <dimension ref="A1:AW83"/>
  <sheetViews>
    <sheetView showGridLines="0" tabSelected="1" topLeftCell="B2" zoomScaleNormal="100" workbookViewId="0">
      <selection activeCell="B2" sqref="B2"/>
    </sheetView>
  </sheetViews>
  <sheetFormatPr defaultColWidth="0" defaultRowHeight="12.75" zeroHeight="1"/>
  <cols>
    <col min="1" max="1" width="1.7109375" hidden="1" customWidth="1"/>
    <col min="2" max="3" width="1.7109375" customWidth="1"/>
    <col min="4" max="19" width="6.7109375" customWidth="1"/>
    <col min="20" max="23" width="1.7109375" customWidth="1"/>
    <col min="24" max="39" width="6.7109375" customWidth="1"/>
    <col min="40" max="41" width="1.7109375" customWidth="1"/>
    <col min="42" max="42" width="3.7109375" hidden="1" customWidth="1"/>
    <col min="43" max="43" width="7.85546875" hidden="1" customWidth="1"/>
    <col min="44" max="44" width="6.7109375" hidden="1" customWidth="1"/>
    <col min="45" max="45" width="15" hidden="1" customWidth="1"/>
    <col min="46" max="46" width="5.7109375" hidden="1" customWidth="1"/>
    <col min="47" max="47" width="7.85546875" hidden="1" customWidth="1"/>
    <col min="48" max="48" width="7.5703125" hidden="1" customWidth="1"/>
    <col min="49" max="49" width="8.140625" hidden="1" customWidth="1"/>
    <col min="50" max="16384" width="5.7109375" hidden="1"/>
  </cols>
  <sheetData>
    <row r="1" spans="1:49" ht="6" hidden="1" customHeight="1">
      <c r="A1" s="189"/>
      <c r="B1" s="190"/>
      <c r="C1" s="190"/>
      <c r="D1" s="190"/>
      <c r="E1" s="190"/>
      <c r="F1" s="190"/>
      <c r="G1" s="190"/>
      <c r="H1" s="190"/>
      <c r="I1" s="190"/>
      <c r="J1" s="190"/>
      <c r="K1" s="190"/>
      <c r="L1" s="190"/>
      <c r="M1" s="190"/>
      <c r="N1" s="190"/>
      <c r="O1" s="190"/>
      <c r="P1" s="190"/>
      <c r="Q1" s="190"/>
      <c r="R1" s="190"/>
      <c r="S1" s="190"/>
      <c r="T1" s="190"/>
      <c r="U1" s="190"/>
      <c r="V1" s="191"/>
      <c r="W1" s="191"/>
      <c r="X1" s="192"/>
      <c r="Y1" s="192"/>
      <c r="Z1" s="193"/>
    </row>
    <row r="2" spans="1:49" ht="6" customHeight="1">
      <c r="A2" s="191"/>
      <c r="B2" s="194"/>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6"/>
    </row>
    <row r="3" spans="1:49" ht="6" customHeight="1">
      <c r="A3" s="198"/>
      <c r="B3" s="199"/>
      <c r="C3" s="335"/>
      <c r="D3" s="335"/>
      <c r="E3" s="336"/>
      <c r="F3" s="336"/>
      <c r="G3" s="336"/>
      <c r="H3" s="336"/>
      <c r="I3" s="336"/>
      <c r="J3" s="334"/>
      <c r="K3" s="334"/>
      <c r="L3" s="334"/>
      <c r="M3" s="334"/>
      <c r="N3" s="334"/>
      <c r="O3" s="334"/>
      <c r="P3" s="336"/>
      <c r="Q3" s="385" t="s">
        <v>243</v>
      </c>
      <c r="R3" s="385"/>
      <c r="S3" s="385"/>
      <c r="T3" s="385"/>
      <c r="U3" s="385"/>
      <c r="V3" s="385"/>
      <c r="W3" s="385"/>
      <c r="X3" s="385"/>
      <c r="Y3" s="385"/>
      <c r="Z3" s="336"/>
      <c r="AA3" s="336"/>
      <c r="AB3" s="336"/>
      <c r="AC3" s="336"/>
      <c r="AD3" s="334"/>
      <c r="AE3" s="334"/>
      <c r="AF3" s="334"/>
      <c r="AG3" s="334"/>
      <c r="AH3" s="334"/>
      <c r="AI3" s="334"/>
      <c r="AJ3" s="336"/>
      <c r="AK3" s="336"/>
      <c r="AL3" s="336"/>
      <c r="AM3" s="337"/>
      <c r="AN3" s="337"/>
      <c r="AO3" s="200"/>
    </row>
    <row r="4" spans="1:49" ht="12" customHeight="1">
      <c r="A4" s="198"/>
      <c r="B4" s="199"/>
      <c r="C4" s="335"/>
      <c r="D4" s="335"/>
      <c r="E4" s="336"/>
      <c r="F4" s="336"/>
      <c r="G4" s="336"/>
      <c r="H4" s="336"/>
      <c r="I4" s="336"/>
      <c r="J4" s="334"/>
      <c r="K4" s="334"/>
      <c r="L4" s="334"/>
      <c r="M4" s="334"/>
      <c r="N4" s="334"/>
      <c r="O4" s="334"/>
      <c r="P4" s="336"/>
      <c r="Q4" s="385"/>
      <c r="R4" s="385"/>
      <c r="S4" s="385"/>
      <c r="T4" s="385"/>
      <c r="U4" s="385"/>
      <c r="V4" s="385"/>
      <c r="W4" s="385"/>
      <c r="X4" s="385"/>
      <c r="Y4" s="385"/>
      <c r="Z4" s="379" t="s">
        <v>195</v>
      </c>
      <c r="AA4" s="379"/>
      <c r="AB4" s="379"/>
      <c r="AC4" s="379"/>
      <c r="AD4" s="334"/>
      <c r="AE4" s="334"/>
      <c r="AF4" s="334"/>
      <c r="AG4" s="334"/>
      <c r="AH4" s="334"/>
      <c r="AI4" s="334"/>
      <c r="AJ4" s="336"/>
      <c r="AK4" s="336"/>
      <c r="AL4" s="336"/>
      <c r="AM4" s="337"/>
      <c r="AN4" s="337"/>
      <c r="AO4" s="200"/>
    </row>
    <row r="5" spans="1:49" ht="12" customHeight="1">
      <c r="A5" s="198"/>
      <c r="B5" s="199"/>
      <c r="C5" s="335"/>
      <c r="D5" s="335"/>
      <c r="E5" s="338"/>
      <c r="F5" s="338"/>
      <c r="G5" s="338"/>
      <c r="H5" s="338"/>
      <c r="I5" s="338"/>
      <c r="J5" s="334"/>
      <c r="K5" s="334"/>
      <c r="L5" s="334"/>
      <c r="M5" s="334"/>
      <c r="N5" s="334"/>
      <c r="O5" s="334"/>
      <c r="P5" s="339"/>
      <c r="Q5" s="385"/>
      <c r="R5" s="385"/>
      <c r="S5" s="385"/>
      <c r="T5" s="385"/>
      <c r="U5" s="385"/>
      <c r="V5" s="385"/>
      <c r="W5" s="385"/>
      <c r="X5" s="385"/>
      <c r="Y5" s="385"/>
      <c r="Z5" s="379"/>
      <c r="AA5" s="379"/>
      <c r="AB5" s="379"/>
      <c r="AC5" s="379"/>
      <c r="AD5" s="334"/>
      <c r="AE5" s="334"/>
      <c r="AF5" s="334"/>
      <c r="AG5" s="334"/>
      <c r="AH5" s="334"/>
      <c r="AI5" s="334"/>
      <c r="AJ5" s="339"/>
      <c r="AK5" s="340"/>
      <c r="AL5" s="340"/>
      <c r="AM5" s="340"/>
      <c r="AN5" s="340"/>
      <c r="AO5" s="200"/>
    </row>
    <row r="6" spans="1:49" ht="6" customHeight="1">
      <c r="A6" s="198"/>
      <c r="B6" s="199"/>
      <c r="C6" s="341"/>
      <c r="D6" s="341"/>
      <c r="E6" s="342"/>
      <c r="F6" s="342"/>
      <c r="G6" s="342"/>
      <c r="H6" s="342"/>
      <c r="I6" s="342"/>
      <c r="J6" s="342"/>
      <c r="K6" s="342"/>
      <c r="L6" s="342"/>
      <c r="M6" s="342"/>
      <c r="N6" s="343"/>
      <c r="O6" s="343"/>
      <c r="P6" s="343"/>
      <c r="Q6" s="386"/>
      <c r="R6" s="386"/>
      <c r="S6" s="386"/>
      <c r="T6" s="386"/>
      <c r="U6" s="386"/>
      <c r="V6" s="386"/>
      <c r="W6" s="386"/>
      <c r="X6" s="386"/>
      <c r="Y6" s="386"/>
      <c r="Z6" s="342"/>
      <c r="AA6" s="342"/>
      <c r="AB6" s="342"/>
      <c r="AC6" s="342"/>
      <c r="AD6" s="342"/>
      <c r="AE6" s="342"/>
      <c r="AF6" s="342"/>
      <c r="AG6" s="342"/>
      <c r="AH6" s="343"/>
      <c r="AI6" s="343"/>
      <c r="AJ6" s="343"/>
      <c r="AK6" s="343"/>
      <c r="AL6" s="343"/>
      <c r="AM6" s="343"/>
      <c r="AN6" s="343"/>
      <c r="AO6" s="200"/>
    </row>
    <row r="7" spans="1:49" ht="6" customHeight="1">
      <c r="A7" s="198"/>
      <c r="B7" s="199"/>
      <c r="C7" s="201"/>
      <c r="D7" s="201"/>
      <c r="E7" s="202"/>
      <c r="F7" s="203"/>
      <c r="G7" s="201"/>
      <c r="H7" s="203"/>
      <c r="I7" s="203"/>
      <c r="J7" s="203"/>
      <c r="K7" s="203"/>
      <c r="L7" s="201"/>
      <c r="M7" s="203"/>
      <c r="N7" s="201"/>
      <c r="O7" s="203"/>
      <c r="P7" s="201"/>
      <c r="Q7" s="203"/>
      <c r="R7" s="203"/>
      <c r="S7" s="203"/>
      <c r="T7" s="203"/>
      <c r="U7" s="200"/>
      <c r="V7" s="199"/>
      <c r="W7" s="201"/>
      <c r="X7" s="201"/>
      <c r="Y7" s="202"/>
      <c r="Z7" s="203"/>
      <c r="AA7" s="201"/>
      <c r="AB7" s="203"/>
      <c r="AC7" s="203"/>
      <c r="AD7" s="203"/>
      <c r="AE7" s="203"/>
      <c r="AF7" s="201"/>
      <c r="AG7" s="203"/>
      <c r="AH7" s="201"/>
      <c r="AI7" s="203"/>
      <c r="AJ7" s="201"/>
      <c r="AK7" s="203"/>
      <c r="AL7" s="203"/>
      <c r="AM7" s="203"/>
      <c r="AN7" s="203"/>
      <c r="AO7" s="200"/>
      <c r="AU7" s="205"/>
      <c r="AV7" s="205"/>
      <c r="AW7" s="205"/>
    </row>
    <row r="8" spans="1:49" ht="12" customHeight="1">
      <c r="A8" s="198"/>
      <c r="B8" s="206"/>
      <c r="C8" s="207"/>
      <c r="D8" s="208" t="s">
        <v>334</v>
      </c>
      <c r="E8" s="209"/>
      <c r="F8" s="189"/>
      <c r="G8" s="189"/>
      <c r="H8" s="183"/>
      <c r="I8" s="183"/>
      <c r="J8" s="183"/>
      <c r="K8" s="183"/>
      <c r="L8" s="183"/>
      <c r="M8" s="183"/>
      <c r="N8" s="183"/>
      <c r="O8" s="183"/>
      <c r="P8" s="357" t="s">
        <v>245</v>
      </c>
      <c r="Q8" s="183"/>
      <c r="R8" s="183"/>
      <c r="S8" s="183"/>
      <c r="T8" s="183"/>
      <c r="U8" s="210"/>
      <c r="V8" s="206"/>
      <c r="W8" s="275"/>
      <c r="X8" s="241" t="s">
        <v>338</v>
      </c>
      <c r="Y8" s="242"/>
      <c r="Z8" s="242"/>
      <c r="AA8" s="242"/>
      <c r="AB8" s="242"/>
      <c r="AC8" s="243"/>
      <c r="AD8" s="276"/>
      <c r="AE8" s="276"/>
      <c r="AF8" s="276"/>
      <c r="AG8" s="276"/>
      <c r="AH8" s="276"/>
      <c r="AI8" s="276"/>
      <c r="AJ8" s="276"/>
      <c r="AK8" s="276"/>
      <c r="AL8" s="277"/>
      <c r="AM8" s="277"/>
      <c r="AN8" s="278"/>
      <c r="AO8" s="210"/>
      <c r="AQ8" s="204" t="s">
        <v>193</v>
      </c>
      <c r="AR8" s="204" t="s">
        <v>189</v>
      </c>
      <c r="AS8" s="205"/>
      <c r="AU8" s="204" t="s">
        <v>193</v>
      </c>
      <c r="AV8" s="204" t="s">
        <v>189</v>
      </c>
      <c r="AW8" s="205"/>
    </row>
    <row r="9" spans="1:49" ht="6" customHeight="1">
      <c r="A9" s="198"/>
      <c r="B9" s="206"/>
      <c r="C9" s="211"/>
      <c r="D9" s="212"/>
      <c r="E9" s="212"/>
      <c r="F9" s="212"/>
      <c r="G9" s="212"/>
      <c r="H9" s="212"/>
      <c r="I9" s="212"/>
      <c r="J9" s="212"/>
      <c r="K9" s="212"/>
      <c r="L9" s="212"/>
      <c r="M9" s="212"/>
      <c r="N9" s="212"/>
      <c r="O9" s="212"/>
      <c r="P9" s="212"/>
      <c r="Q9" s="212"/>
      <c r="R9" s="212"/>
      <c r="S9" s="212"/>
      <c r="T9" s="213"/>
      <c r="U9" s="210"/>
      <c r="V9" s="206"/>
      <c r="W9" s="211"/>
      <c r="X9" s="212"/>
      <c r="Y9" s="212"/>
      <c r="Z9" s="212"/>
      <c r="AA9" s="212"/>
      <c r="AB9" s="212"/>
      <c r="AC9" s="212"/>
      <c r="AD9" s="212"/>
      <c r="AE9" s="212"/>
      <c r="AF9" s="212"/>
      <c r="AG9" s="212"/>
      <c r="AH9" s="212"/>
      <c r="AI9" s="212"/>
      <c r="AJ9" s="212"/>
      <c r="AK9" s="212"/>
      <c r="AL9" s="212"/>
      <c r="AM9" s="212"/>
      <c r="AN9" s="213"/>
      <c r="AO9" s="210"/>
      <c r="AQ9" s="214"/>
      <c r="AR9" s="214"/>
      <c r="AS9" s="205"/>
      <c r="AU9" s="205"/>
      <c r="AV9" s="205"/>
      <c r="AW9" s="205"/>
    </row>
    <row r="10" spans="1:49" ht="12" customHeight="1">
      <c r="A10" s="198"/>
      <c r="B10" s="206"/>
      <c r="C10" s="215"/>
      <c r="D10" s="216" t="s">
        <v>343</v>
      </c>
      <c r="E10" s="216"/>
      <c r="F10" s="217"/>
      <c r="G10" s="217"/>
      <c r="H10" s="217"/>
      <c r="I10" s="218" t="s">
        <v>332</v>
      </c>
      <c r="J10" s="219"/>
      <c r="K10" s="219"/>
      <c r="L10" s="219"/>
      <c r="M10" s="219"/>
      <c r="N10" s="219"/>
      <c r="O10" s="219"/>
      <c r="P10" s="219"/>
      <c r="Q10" s="219"/>
      <c r="R10" s="217"/>
      <c r="S10" s="217"/>
      <c r="T10" s="220"/>
      <c r="U10" s="210"/>
      <c r="V10" s="206"/>
      <c r="W10" s="215"/>
      <c r="X10" s="382" t="s">
        <v>328</v>
      </c>
      <c r="Y10" s="382"/>
      <c r="Z10" s="382"/>
      <c r="AA10" s="382"/>
      <c r="AB10" s="382"/>
      <c r="AC10" s="382"/>
      <c r="AD10" s="382"/>
      <c r="AE10" s="382"/>
      <c r="AF10" s="382"/>
      <c r="AG10" s="382"/>
      <c r="AH10" s="382"/>
      <c r="AI10" s="382"/>
      <c r="AJ10" s="382"/>
      <c r="AK10" s="283"/>
      <c r="AL10" s="286"/>
      <c r="AM10" s="286"/>
      <c r="AN10" s="284"/>
      <c r="AO10" s="210"/>
      <c r="AQ10" s="182">
        <v>23</v>
      </c>
      <c r="AR10" s="204" t="str">
        <f>VLOOKUP(AQ10,TA_Salary_Order,3,FALSE)</f>
        <v>AST1</v>
      </c>
      <c r="AS10" s="204">
        <f>VLOOKUP(AQ10,TA_Salary_Order,2,FALSE)</f>
        <v>23</v>
      </c>
      <c r="AU10" s="182">
        <v>4</v>
      </c>
      <c r="AV10" s="204">
        <v>1</v>
      </c>
      <c r="AW10" s="204">
        <v>0.16</v>
      </c>
    </row>
    <row r="11" spans="1:49" ht="12" customHeight="1">
      <c r="A11" s="198"/>
      <c r="B11" s="206"/>
      <c r="C11" s="215"/>
      <c r="D11" s="216" t="s">
        <v>344</v>
      </c>
      <c r="E11" s="216"/>
      <c r="F11" s="217"/>
      <c r="G11" s="217"/>
      <c r="H11" s="217"/>
      <c r="I11" s="221" t="s">
        <v>333</v>
      </c>
      <c r="J11" s="222"/>
      <c r="K11" s="216"/>
      <c r="L11" s="222"/>
      <c r="M11" s="223" t="str">
        <f>IF(AND($AR$10="AD16",$AR$11&gt;3),"AD16 max step is 3","")</f>
        <v/>
      </c>
      <c r="N11" s="222"/>
      <c r="O11" s="223"/>
      <c r="P11" s="224"/>
      <c r="Q11" s="225"/>
      <c r="R11" s="372" cm="1">
        <f t="array" ref="R11">INDEX(T_TA_salaries[],AS10,AR11+4)</f>
        <v>3360.76</v>
      </c>
      <c r="S11" s="372"/>
      <c r="T11" s="226"/>
      <c r="U11" s="227"/>
      <c r="V11" s="206"/>
      <c r="W11" s="215"/>
      <c r="X11" s="382"/>
      <c r="Y11" s="382"/>
      <c r="Z11" s="382"/>
      <c r="AA11" s="382"/>
      <c r="AB11" s="382"/>
      <c r="AC11" s="382"/>
      <c r="AD11" s="382"/>
      <c r="AE11" s="382"/>
      <c r="AF11" s="382"/>
      <c r="AG11" s="382"/>
      <c r="AH11" s="382"/>
      <c r="AI11" s="382"/>
      <c r="AJ11" s="382"/>
      <c r="AK11" s="283"/>
      <c r="AL11" s="333"/>
      <c r="AM11" s="333"/>
      <c r="AN11" s="287"/>
      <c r="AO11" s="227"/>
      <c r="AQ11" s="182">
        <v>1</v>
      </c>
      <c r="AR11" s="204">
        <f>VLOOKUP(AQ11,TA_Steps_Order,2,FALSE)</f>
        <v>1</v>
      </c>
      <c r="AS11" s="228"/>
      <c r="AU11" s="214"/>
      <c r="AV11" s="204">
        <v>2</v>
      </c>
      <c r="AW11" s="204">
        <v>0.04</v>
      </c>
    </row>
    <row r="12" spans="1:49" ht="12" customHeight="1">
      <c r="A12" s="198"/>
      <c r="B12" s="206"/>
      <c r="C12" s="229"/>
      <c r="D12" s="230"/>
      <c r="E12" s="230"/>
      <c r="F12" s="231"/>
      <c r="G12" s="231"/>
      <c r="H12" s="231"/>
      <c r="I12" s="231"/>
      <c r="J12" s="231"/>
      <c r="K12" s="232"/>
      <c r="L12" s="232"/>
      <c r="M12" s="232"/>
      <c r="N12" s="232"/>
      <c r="O12" s="232"/>
      <c r="P12" s="232"/>
      <c r="Q12" s="233"/>
      <c r="R12" s="234"/>
      <c r="S12" s="234"/>
      <c r="T12" s="235"/>
      <c r="U12" s="227"/>
      <c r="V12" s="206"/>
      <c r="W12" s="215"/>
      <c r="X12" s="383"/>
      <c r="Y12" s="383"/>
      <c r="Z12" s="383"/>
      <c r="AA12" s="383"/>
      <c r="AB12" s="383"/>
      <c r="AC12" s="383"/>
      <c r="AD12" s="383"/>
      <c r="AE12" s="383"/>
      <c r="AF12" s="383"/>
      <c r="AG12" s="383"/>
      <c r="AH12" s="383"/>
      <c r="AI12" s="383"/>
      <c r="AJ12" s="383"/>
      <c r="AK12" s="345"/>
      <c r="AL12" s="346"/>
      <c r="AM12" s="346"/>
      <c r="AN12" s="287"/>
      <c r="AO12" s="227"/>
      <c r="AQ12" s="214"/>
      <c r="AR12" s="214"/>
      <c r="AS12" s="205"/>
      <c r="AU12" s="214"/>
      <c r="AV12" s="204">
        <v>3</v>
      </c>
      <c r="AW12" s="204">
        <v>0.16</v>
      </c>
    </row>
    <row r="13" spans="1:49" ht="12" customHeight="1">
      <c r="A13" s="198"/>
      <c r="B13" s="206"/>
      <c r="C13" s="183"/>
      <c r="D13" s="236"/>
      <c r="E13" s="236"/>
      <c r="F13" s="183"/>
      <c r="G13" s="183"/>
      <c r="H13" s="183"/>
      <c r="I13" s="183"/>
      <c r="J13" s="183"/>
      <c r="K13" s="237"/>
      <c r="L13" s="237"/>
      <c r="M13" s="237"/>
      <c r="N13" s="237"/>
      <c r="O13" s="237"/>
      <c r="P13" s="237"/>
      <c r="Q13" s="238"/>
      <c r="R13" s="239"/>
      <c r="S13" s="239"/>
      <c r="T13" s="240"/>
      <c r="U13" s="227"/>
      <c r="V13" s="206"/>
      <c r="W13" s="215"/>
      <c r="X13" s="384" t="s">
        <v>329</v>
      </c>
      <c r="Y13" s="384"/>
      <c r="Z13" s="384"/>
      <c r="AA13" s="384"/>
      <c r="AB13" s="384"/>
      <c r="AC13" s="384"/>
      <c r="AD13" s="384"/>
      <c r="AE13" s="384"/>
      <c r="AF13" s="384"/>
      <c r="AG13" s="384"/>
      <c r="AH13" s="384"/>
      <c r="AI13" s="384"/>
      <c r="AJ13" s="384"/>
      <c r="AK13" s="283"/>
      <c r="AL13" s="333"/>
      <c r="AM13" s="333"/>
      <c r="AN13" s="287"/>
      <c r="AO13" s="227"/>
      <c r="AQ13" s="214"/>
      <c r="AR13" s="214"/>
      <c r="AS13" s="205"/>
      <c r="AU13" s="214"/>
      <c r="AV13" s="204">
        <v>4</v>
      </c>
      <c r="AW13" s="204">
        <v>0</v>
      </c>
    </row>
    <row r="14" spans="1:49" ht="12" customHeight="1">
      <c r="A14" s="198"/>
      <c r="B14" s="206"/>
      <c r="C14" s="207"/>
      <c r="D14" s="241" t="s">
        <v>335</v>
      </c>
      <c r="E14" s="242"/>
      <c r="F14" s="243"/>
      <c r="G14" s="183"/>
      <c r="H14" s="183"/>
      <c r="I14" s="183"/>
      <c r="J14" s="183"/>
      <c r="K14" s="183"/>
      <c r="L14" s="183"/>
      <c r="M14" s="183"/>
      <c r="N14" s="276"/>
      <c r="O14" s="276"/>
      <c r="P14" s="276"/>
      <c r="Q14" s="183"/>
      <c r="R14" s="244"/>
      <c r="S14" s="244"/>
      <c r="T14" s="244"/>
      <c r="U14" s="245"/>
      <c r="V14" s="206"/>
      <c r="W14" s="260"/>
      <c r="X14" s="382"/>
      <c r="Y14" s="382"/>
      <c r="Z14" s="382"/>
      <c r="AA14" s="382"/>
      <c r="AB14" s="382"/>
      <c r="AC14" s="382"/>
      <c r="AD14" s="382"/>
      <c r="AE14" s="382"/>
      <c r="AF14" s="382"/>
      <c r="AG14" s="382"/>
      <c r="AH14" s="382"/>
      <c r="AI14" s="382"/>
      <c r="AJ14" s="382"/>
      <c r="AK14" s="283"/>
      <c r="AL14" s="333"/>
      <c r="AM14" s="333"/>
      <c r="AN14" s="287"/>
      <c r="AO14" s="245"/>
      <c r="AQ14" s="204" t="s">
        <v>193</v>
      </c>
      <c r="AR14" s="204" t="s">
        <v>189</v>
      </c>
      <c r="AS14" s="246"/>
      <c r="AU14" s="205"/>
      <c r="AV14" s="205"/>
      <c r="AW14" s="205"/>
    </row>
    <row r="15" spans="1:49" ht="12" customHeight="1">
      <c r="A15" s="198"/>
      <c r="B15" s="206"/>
      <c r="C15" s="211"/>
      <c r="D15" s="212"/>
      <c r="E15" s="212"/>
      <c r="F15" s="212"/>
      <c r="G15" s="212"/>
      <c r="H15" s="212"/>
      <c r="I15" s="212"/>
      <c r="J15" s="212"/>
      <c r="K15" s="212"/>
      <c r="L15" s="212"/>
      <c r="M15" s="212"/>
      <c r="N15" s="212"/>
      <c r="O15" s="223" t="str">
        <f>+IF($AR$29&gt;$AR$16,"Check the number of children","")</f>
        <v/>
      </c>
      <c r="P15" s="212"/>
      <c r="Q15" s="212"/>
      <c r="R15" s="247"/>
      <c r="S15" s="247"/>
      <c r="T15" s="248"/>
      <c r="U15" s="245"/>
      <c r="V15" s="206"/>
      <c r="W15" s="215"/>
      <c r="X15" s="383"/>
      <c r="Y15" s="383"/>
      <c r="Z15" s="383"/>
      <c r="AA15" s="383"/>
      <c r="AB15" s="383"/>
      <c r="AC15" s="383"/>
      <c r="AD15" s="383"/>
      <c r="AE15" s="383"/>
      <c r="AF15" s="383"/>
      <c r="AG15" s="383"/>
      <c r="AH15" s="383"/>
      <c r="AI15" s="383"/>
      <c r="AJ15" s="383"/>
      <c r="AK15" s="254"/>
      <c r="AL15" s="346"/>
      <c r="AM15" s="346"/>
      <c r="AN15" s="287"/>
      <c r="AO15" s="245"/>
      <c r="AQ15" s="214"/>
      <c r="AR15" s="214"/>
      <c r="AS15" s="205"/>
      <c r="AU15" s="205"/>
      <c r="AV15" s="205"/>
      <c r="AW15" s="205"/>
    </row>
    <row r="16" spans="1:49" ht="12" customHeight="1">
      <c r="A16" s="198"/>
      <c r="B16" s="206"/>
      <c r="C16" s="215"/>
      <c r="D16" s="216" t="s">
        <v>287</v>
      </c>
      <c r="E16" s="216"/>
      <c r="F16" s="217"/>
      <c r="G16" s="217"/>
      <c r="H16" s="217"/>
      <c r="I16" s="217"/>
      <c r="J16" s="217"/>
      <c r="K16" s="217"/>
      <c r="L16" s="217"/>
      <c r="M16" s="217"/>
      <c r="N16" s="217"/>
      <c r="O16" s="223" t="str">
        <f>+IF(OR(AND($AR$27&gt;0,$AU$10=2),AND($AR$27&gt;0,$AU$10=4)),"Check the expat allowance (16%)","")</f>
        <v/>
      </c>
      <c r="P16" s="223"/>
      <c r="Q16" s="223"/>
      <c r="R16" s="223"/>
      <c r="S16" s="223"/>
      <c r="T16" s="249"/>
      <c r="U16" s="245"/>
      <c r="V16" s="206"/>
      <c r="W16" s="215"/>
      <c r="X16" s="382" t="s">
        <v>330</v>
      </c>
      <c r="Y16" s="382"/>
      <c r="Z16" s="382"/>
      <c r="AA16" s="382"/>
      <c r="AB16" s="382"/>
      <c r="AC16" s="382"/>
      <c r="AD16" s="382"/>
      <c r="AE16" s="382"/>
      <c r="AF16" s="382"/>
      <c r="AG16" s="382"/>
      <c r="AH16" s="382"/>
      <c r="AI16" s="382"/>
      <c r="AJ16" s="382"/>
      <c r="AK16" s="223"/>
      <c r="AL16" s="223"/>
      <c r="AM16" s="223"/>
      <c r="AN16" s="287"/>
      <c r="AO16" s="245"/>
      <c r="AQ16" s="182">
        <v>1</v>
      </c>
      <c r="AR16" s="204">
        <f>VLOOKUP(AQ16,DependChild_Order,2,FALSE)</f>
        <v>0</v>
      </c>
      <c r="AS16" s="204" t="s">
        <v>217</v>
      </c>
      <c r="AU16" s="205"/>
      <c r="AV16" s="205"/>
      <c r="AW16" s="205"/>
    </row>
    <row r="17" spans="1:49" ht="12" customHeight="1">
      <c r="A17" s="198"/>
      <c r="B17" s="206"/>
      <c r="C17" s="215"/>
      <c r="D17" s="216" t="s">
        <v>286</v>
      </c>
      <c r="E17" s="216"/>
      <c r="F17" s="217"/>
      <c r="G17" s="216"/>
      <c r="H17" s="216"/>
      <c r="I17" s="216"/>
      <c r="J17" s="216"/>
      <c r="K17" s="217"/>
      <c r="L17" s="217"/>
      <c r="M17" s="217"/>
      <c r="N17" s="217"/>
      <c r="O17" s="223"/>
      <c r="P17" s="217"/>
      <c r="Q17" s="217"/>
      <c r="R17" s="250"/>
      <c r="S17" s="250"/>
      <c r="T17" s="249"/>
      <c r="U17" s="245"/>
      <c r="V17" s="206"/>
      <c r="W17" s="215"/>
      <c r="X17" s="382"/>
      <c r="Y17" s="382"/>
      <c r="Z17" s="382"/>
      <c r="AA17" s="382"/>
      <c r="AB17" s="382"/>
      <c r="AC17" s="382"/>
      <c r="AD17" s="382"/>
      <c r="AE17" s="382"/>
      <c r="AF17" s="382"/>
      <c r="AG17" s="382"/>
      <c r="AH17" s="382"/>
      <c r="AI17" s="382"/>
      <c r="AJ17" s="382"/>
      <c r="AK17" s="217"/>
      <c r="AL17" s="250"/>
      <c r="AM17" s="250"/>
      <c r="AN17" s="287"/>
      <c r="AO17" s="245"/>
      <c r="AQ17" s="251"/>
      <c r="AR17" s="251"/>
      <c r="AS17" s="251"/>
      <c r="AU17" s="205"/>
      <c r="AV17" s="205"/>
      <c r="AW17" s="205"/>
    </row>
    <row r="18" spans="1:49" ht="12" customHeight="1">
      <c r="A18" s="198"/>
      <c r="B18" s="206"/>
      <c r="C18" s="215"/>
      <c r="D18" s="252" t="s">
        <v>353</v>
      </c>
      <c r="E18" s="253"/>
      <c r="F18" s="254"/>
      <c r="G18" s="254"/>
      <c r="H18" s="254"/>
      <c r="I18" s="254"/>
      <c r="J18" s="254"/>
      <c r="K18" s="254"/>
      <c r="L18" s="254"/>
      <c r="M18" s="254"/>
      <c r="N18" s="255"/>
      <c r="O18" s="253"/>
      <c r="P18" s="254"/>
      <c r="Q18" s="254"/>
      <c r="R18" s="387">
        <f>IF($AR$16&gt;0,'Salary and Allowances'!$X$9*AR18,0)</f>
        <v>0</v>
      </c>
      <c r="S18" s="387"/>
      <c r="T18" s="249"/>
      <c r="U18" s="245"/>
      <c r="V18" s="206"/>
      <c r="W18" s="215"/>
      <c r="X18" s="383"/>
      <c r="Y18" s="383"/>
      <c r="Z18" s="383"/>
      <c r="AA18" s="383"/>
      <c r="AB18" s="383"/>
      <c r="AC18" s="383"/>
      <c r="AD18" s="383"/>
      <c r="AE18" s="383"/>
      <c r="AF18" s="383"/>
      <c r="AG18" s="383"/>
      <c r="AH18" s="383"/>
      <c r="AI18" s="383"/>
      <c r="AJ18" s="383"/>
      <c r="AK18" s="254"/>
      <c r="AL18" s="387"/>
      <c r="AM18" s="387"/>
      <c r="AN18" s="249"/>
      <c r="AO18" s="245"/>
      <c r="AQ18" s="182">
        <v>1</v>
      </c>
      <c r="AR18" s="204">
        <f>VLOOKUP(AQ18,DependChild_Order,2,FALSE)</f>
        <v>0</v>
      </c>
      <c r="AS18" s="204" t="s">
        <v>188</v>
      </c>
      <c r="AU18" s="205"/>
      <c r="AV18" s="205"/>
      <c r="AW18" s="205"/>
    </row>
    <row r="19" spans="1:49" ht="12" customHeight="1">
      <c r="A19" s="256"/>
      <c r="B19" s="206"/>
      <c r="C19" s="215"/>
      <c r="D19" s="397" t="s">
        <v>345</v>
      </c>
      <c r="E19" s="397"/>
      <c r="F19" s="397"/>
      <c r="G19" s="397"/>
      <c r="H19" s="397"/>
      <c r="I19" s="397"/>
      <c r="J19" s="397"/>
      <c r="K19" s="397"/>
      <c r="L19" s="397"/>
      <c r="M19" s="397"/>
      <c r="N19" s="397"/>
      <c r="O19" s="397"/>
      <c r="P19" s="257"/>
      <c r="Q19" s="258"/>
      <c r="R19" s="380">
        <f>IF($AR$16&gt;0,'Salary and Allowances'!$X$8*AR19,0)</f>
        <v>0</v>
      </c>
      <c r="S19" s="380"/>
      <c r="T19" s="249"/>
      <c r="U19" s="245"/>
      <c r="V19" s="206"/>
      <c r="W19" s="215"/>
      <c r="X19" s="382" t="s">
        <v>331</v>
      </c>
      <c r="Y19" s="382"/>
      <c r="Z19" s="382"/>
      <c r="AA19" s="382"/>
      <c r="AB19" s="382"/>
      <c r="AC19" s="382"/>
      <c r="AD19" s="382"/>
      <c r="AE19" s="382"/>
      <c r="AF19" s="382"/>
      <c r="AG19" s="382"/>
      <c r="AH19" s="382"/>
      <c r="AI19" s="382"/>
      <c r="AJ19" s="382"/>
      <c r="AK19" s="344"/>
      <c r="AL19" s="389"/>
      <c r="AM19" s="389"/>
      <c r="AN19" s="249"/>
      <c r="AO19" s="245"/>
      <c r="AQ19" s="182">
        <v>1</v>
      </c>
      <c r="AR19" s="204">
        <f>VLOOKUP(AQ19,DependChild_Order,2,FALSE)</f>
        <v>0</v>
      </c>
      <c r="AS19" s="204" t="s">
        <v>288</v>
      </c>
      <c r="AU19" s="205"/>
      <c r="AV19" s="205"/>
      <c r="AW19" s="205"/>
    </row>
    <row r="20" spans="1:49" ht="12" customHeight="1">
      <c r="A20" s="256"/>
      <c r="B20" s="206"/>
      <c r="C20" s="215"/>
      <c r="D20" s="397"/>
      <c r="E20" s="397"/>
      <c r="F20" s="397"/>
      <c r="G20" s="397"/>
      <c r="H20" s="397"/>
      <c r="I20" s="397"/>
      <c r="J20" s="397"/>
      <c r="K20" s="397"/>
      <c r="L20" s="397"/>
      <c r="M20" s="397"/>
      <c r="N20" s="397"/>
      <c r="O20" s="397"/>
      <c r="P20" s="254"/>
      <c r="Q20" s="259"/>
      <c r="R20" s="381"/>
      <c r="S20" s="381"/>
      <c r="T20" s="249"/>
      <c r="U20" s="245"/>
      <c r="V20" s="206"/>
      <c r="W20" s="215"/>
      <c r="X20" s="383"/>
      <c r="Y20" s="383"/>
      <c r="Z20" s="383"/>
      <c r="AA20" s="383"/>
      <c r="AB20" s="383"/>
      <c r="AC20" s="383"/>
      <c r="AD20" s="383"/>
      <c r="AE20" s="383"/>
      <c r="AF20" s="383"/>
      <c r="AG20" s="383"/>
      <c r="AH20" s="383"/>
      <c r="AI20" s="383"/>
      <c r="AJ20" s="383"/>
      <c r="AK20" s="259"/>
      <c r="AL20" s="390"/>
      <c r="AM20" s="390"/>
      <c r="AN20" s="249"/>
      <c r="AO20" s="245"/>
      <c r="AQ20" s="182"/>
      <c r="AR20" s="204"/>
      <c r="AS20" s="204"/>
      <c r="AU20" s="205"/>
      <c r="AV20" s="205"/>
      <c r="AW20" s="205"/>
    </row>
    <row r="21" spans="1:49" ht="12" customHeight="1">
      <c r="A21" s="256"/>
      <c r="B21" s="206"/>
      <c r="C21" s="215"/>
      <c r="D21" s="397" t="s">
        <v>346</v>
      </c>
      <c r="E21" s="397"/>
      <c r="F21" s="397"/>
      <c r="G21" s="397"/>
      <c r="H21" s="397"/>
      <c r="I21" s="397"/>
      <c r="J21" s="397"/>
      <c r="K21" s="397"/>
      <c r="L21" s="397"/>
      <c r="M21" s="397"/>
      <c r="N21" s="397"/>
      <c r="O21" s="397"/>
      <c r="P21" s="257"/>
      <c r="Q21" s="257"/>
      <c r="R21" s="380">
        <f>IF($AR$16&gt;0,2*'Salary and Allowances'!$X$8*AR21,0)</f>
        <v>0</v>
      </c>
      <c r="S21" s="380"/>
      <c r="T21" s="249"/>
      <c r="U21" s="245"/>
      <c r="V21" s="206"/>
      <c r="W21" s="215"/>
      <c r="X21" s="391" t="s">
        <v>322</v>
      </c>
      <c r="Y21" s="391"/>
      <c r="Z21" s="391"/>
      <c r="AA21" s="391"/>
      <c r="AB21" s="391"/>
      <c r="AC21" s="391"/>
      <c r="AD21" s="391"/>
      <c r="AE21" s="391"/>
      <c r="AF21" s="391"/>
      <c r="AG21" s="391"/>
      <c r="AH21" s="391"/>
      <c r="AI21" s="391"/>
      <c r="AJ21" s="257"/>
      <c r="AK21" s="257"/>
      <c r="AL21" s="393">
        <f>IFERROR(IF($AK$22=0,0,IF($AK$22=0.16,MAX($AK$22*SUM($R$11,$R$40,$R$41),'Salary and Allowances'!$X$10),IF($AK$22=0.04,MAX($AK$22*SUM($R$11,$R$40,$R$41),1/4*'Salary and Allowances'!$X$10),0))),"ERROR")</f>
        <v>0</v>
      </c>
      <c r="AM21" s="393"/>
      <c r="AN21" s="249"/>
      <c r="AO21" s="245"/>
      <c r="AQ21" s="182">
        <v>1</v>
      </c>
      <c r="AR21" s="204">
        <f>VLOOKUP(AQ21,DependChild_Order,2,FALSE)</f>
        <v>0</v>
      </c>
      <c r="AS21" s="204" t="s">
        <v>289</v>
      </c>
      <c r="AU21" s="205"/>
      <c r="AV21" s="205"/>
      <c r="AW21" s="205"/>
    </row>
    <row r="22" spans="1:49" ht="12" customHeight="1">
      <c r="A22" s="256"/>
      <c r="B22" s="206"/>
      <c r="C22" s="215"/>
      <c r="D22" s="397"/>
      <c r="E22" s="397"/>
      <c r="F22" s="397"/>
      <c r="G22" s="397"/>
      <c r="H22" s="397"/>
      <c r="I22" s="397"/>
      <c r="J22" s="397"/>
      <c r="K22" s="397"/>
      <c r="L22" s="397"/>
      <c r="M22" s="397"/>
      <c r="N22" s="397"/>
      <c r="O22" s="397"/>
      <c r="P22" s="254"/>
      <c r="Q22" s="254"/>
      <c r="R22" s="381"/>
      <c r="S22" s="381"/>
      <c r="T22" s="249"/>
      <c r="U22" s="245"/>
      <c r="V22" s="206"/>
      <c r="W22" s="215"/>
      <c r="X22" s="392"/>
      <c r="Y22" s="392"/>
      <c r="Z22" s="392"/>
      <c r="AA22" s="392"/>
      <c r="AB22" s="392"/>
      <c r="AC22" s="392"/>
      <c r="AD22" s="392"/>
      <c r="AE22" s="392"/>
      <c r="AF22" s="392"/>
      <c r="AG22" s="392"/>
      <c r="AH22" s="392"/>
      <c r="AI22" s="392"/>
      <c r="AJ22" s="217"/>
      <c r="AK22" s="347">
        <f>VLOOKUP($AU$10,$AV$10:$AW$13,2,FALSE)</f>
        <v>0</v>
      </c>
      <c r="AL22" s="372"/>
      <c r="AM22" s="372"/>
      <c r="AN22" s="249"/>
      <c r="AO22" s="245"/>
      <c r="AQ22" s="182"/>
      <c r="AR22" s="204"/>
      <c r="AS22" s="204"/>
      <c r="AU22" s="205"/>
      <c r="AV22" s="205"/>
      <c r="AW22" s="205"/>
    </row>
    <row r="23" spans="1:49" ht="12" customHeight="1">
      <c r="A23" s="198"/>
      <c r="B23" s="206"/>
      <c r="C23" s="215"/>
      <c r="D23" s="397" t="s">
        <v>340</v>
      </c>
      <c r="E23" s="397"/>
      <c r="F23" s="397"/>
      <c r="G23" s="397"/>
      <c r="H23" s="397"/>
      <c r="I23" s="397"/>
      <c r="J23" s="397"/>
      <c r="K23" s="397"/>
      <c r="L23" s="397"/>
      <c r="M23" s="397"/>
      <c r="N23" s="397"/>
      <c r="O23" s="397"/>
      <c r="P23" s="257"/>
      <c r="Q23" s="257"/>
      <c r="R23" s="380">
        <f>IF($AR$16&gt;0,'Salary and Allowances'!$X$8*AR23,0)</f>
        <v>0</v>
      </c>
      <c r="S23" s="380"/>
      <c r="T23" s="249"/>
      <c r="U23" s="245"/>
      <c r="V23" s="206"/>
      <c r="W23" s="267"/>
      <c r="X23" s="268"/>
      <c r="Y23" s="231"/>
      <c r="Z23" s="231"/>
      <c r="AA23" s="231"/>
      <c r="AB23" s="231"/>
      <c r="AC23" s="231"/>
      <c r="AD23" s="231"/>
      <c r="AE23" s="231"/>
      <c r="AF23" s="231"/>
      <c r="AG23" s="231"/>
      <c r="AH23" s="231"/>
      <c r="AI23" s="231"/>
      <c r="AJ23" s="231"/>
      <c r="AK23" s="231"/>
      <c r="AL23" s="234"/>
      <c r="AM23" s="234"/>
      <c r="AN23" s="235"/>
      <c r="AO23" s="245"/>
      <c r="AQ23" s="182">
        <v>1</v>
      </c>
      <c r="AR23" s="204">
        <f>VLOOKUP(AQ23,DependChild_Order,2,FALSE)</f>
        <v>0</v>
      </c>
      <c r="AS23" s="204" t="s">
        <v>323</v>
      </c>
      <c r="AU23" s="205"/>
      <c r="AV23" s="205"/>
      <c r="AW23" s="205"/>
    </row>
    <row r="24" spans="1:49" ht="12" customHeight="1">
      <c r="A24" s="198"/>
      <c r="B24" s="206"/>
      <c r="C24" s="215"/>
      <c r="D24" s="397"/>
      <c r="E24" s="397"/>
      <c r="F24" s="397"/>
      <c r="G24" s="397"/>
      <c r="H24" s="397"/>
      <c r="I24" s="397"/>
      <c r="J24" s="397"/>
      <c r="K24" s="397"/>
      <c r="L24" s="397"/>
      <c r="M24" s="397"/>
      <c r="N24" s="397"/>
      <c r="O24" s="397"/>
      <c r="P24" s="254"/>
      <c r="Q24" s="254"/>
      <c r="R24" s="381"/>
      <c r="S24" s="381"/>
      <c r="T24" s="249"/>
      <c r="U24" s="245"/>
      <c r="V24" s="206"/>
      <c r="W24" s="270"/>
      <c r="X24" s="270"/>
      <c r="Y24" s="270"/>
      <c r="Z24" s="270"/>
      <c r="AA24" s="270"/>
      <c r="AB24" s="270"/>
      <c r="AC24" s="270"/>
      <c r="AD24" s="270"/>
      <c r="AE24" s="270"/>
      <c r="AF24" s="270"/>
      <c r="AG24" s="270"/>
      <c r="AH24" s="270"/>
      <c r="AI24" s="270"/>
      <c r="AJ24" s="270"/>
      <c r="AK24" s="270"/>
      <c r="AL24" s="270"/>
      <c r="AM24" s="270"/>
      <c r="AN24" s="270"/>
      <c r="AO24" s="245"/>
      <c r="AQ24" s="182"/>
      <c r="AR24" s="204"/>
      <c r="AS24" s="204"/>
      <c r="AU24" s="205"/>
      <c r="AV24" s="205"/>
      <c r="AW24" s="205"/>
    </row>
    <row r="25" spans="1:49" ht="12" customHeight="1">
      <c r="A25" s="198"/>
      <c r="B25" s="206"/>
      <c r="C25" s="215"/>
      <c r="D25" s="397" t="s">
        <v>341</v>
      </c>
      <c r="E25" s="397"/>
      <c r="F25" s="397"/>
      <c r="G25" s="397"/>
      <c r="H25" s="397"/>
      <c r="I25" s="397"/>
      <c r="J25" s="397"/>
      <c r="K25" s="397"/>
      <c r="L25" s="397"/>
      <c r="M25" s="397"/>
      <c r="N25" s="397"/>
      <c r="O25" s="397"/>
      <c r="P25" s="257"/>
      <c r="Q25" s="257"/>
      <c r="R25" s="380">
        <f>IF($AR$16&gt;0,2*'Salary and Allowances'!$X$8*AR25,0)</f>
        <v>0</v>
      </c>
      <c r="S25" s="380"/>
      <c r="T25" s="249"/>
      <c r="U25" s="245"/>
      <c r="V25" s="206"/>
      <c r="W25" s="279"/>
      <c r="X25" s="294" t="s">
        <v>339</v>
      </c>
      <c r="Y25" s="212"/>
      <c r="Z25" s="209"/>
      <c r="AA25" s="183"/>
      <c r="AB25" s="183"/>
      <c r="AC25" s="183"/>
      <c r="AD25" s="183"/>
      <c r="AE25" s="183"/>
      <c r="AF25" s="183"/>
      <c r="AG25" s="183"/>
      <c r="AH25" s="183"/>
      <c r="AI25" s="183"/>
      <c r="AJ25" s="183"/>
      <c r="AK25" s="183"/>
      <c r="AL25" s="295"/>
      <c r="AM25" s="295"/>
      <c r="AN25" s="295"/>
      <c r="AO25" s="245"/>
      <c r="AQ25" s="182">
        <v>1</v>
      </c>
      <c r="AR25" s="204">
        <f>VLOOKUP(AQ25,DependChild_Order,2,FALSE)</f>
        <v>0</v>
      </c>
      <c r="AS25" s="204" t="s">
        <v>325</v>
      </c>
      <c r="AU25" s="205"/>
      <c r="AV25" s="205"/>
      <c r="AW25" s="205"/>
    </row>
    <row r="26" spans="1:49" ht="12" customHeight="1">
      <c r="A26" s="198"/>
      <c r="B26" s="206"/>
      <c r="C26" s="215"/>
      <c r="D26" s="397"/>
      <c r="E26" s="397"/>
      <c r="F26" s="397"/>
      <c r="G26" s="397"/>
      <c r="H26" s="397"/>
      <c r="I26" s="397"/>
      <c r="J26" s="397"/>
      <c r="K26" s="397"/>
      <c r="L26" s="397"/>
      <c r="M26" s="397"/>
      <c r="N26" s="397"/>
      <c r="O26" s="397"/>
      <c r="P26" s="254"/>
      <c r="Q26" s="254"/>
      <c r="R26" s="381"/>
      <c r="S26" s="381"/>
      <c r="T26" s="249"/>
      <c r="U26" s="245"/>
      <c r="V26" s="206"/>
      <c r="W26" s="279"/>
      <c r="X26" s="280"/>
      <c r="Y26" s="212"/>
      <c r="Z26" s="212"/>
      <c r="AA26" s="212"/>
      <c r="AB26" s="212"/>
      <c r="AC26" s="212"/>
      <c r="AD26" s="212"/>
      <c r="AE26" s="212"/>
      <c r="AF26" s="212"/>
      <c r="AG26" s="212"/>
      <c r="AH26" s="212"/>
      <c r="AI26" s="212"/>
      <c r="AJ26" s="212"/>
      <c r="AK26" s="212"/>
      <c r="AL26" s="296"/>
      <c r="AM26" s="296"/>
      <c r="AN26" s="297"/>
      <c r="AO26" s="245"/>
      <c r="AQ26" s="182"/>
      <c r="AR26" s="204"/>
      <c r="AS26" s="204"/>
      <c r="AU26" s="205"/>
      <c r="AV26" s="205"/>
      <c r="AW26" s="205"/>
    </row>
    <row r="27" spans="1:49" ht="12" customHeight="1">
      <c r="A27" s="198"/>
      <c r="B27" s="206"/>
      <c r="C27" s="215"/>
      <c r="D27" s="397" t="s">
        <v>342</v>
      </c>
      <c r="E27" s="397"/>
      <c r="F27" s="397"/>
      <c r="G27" s="397"/>
      <c r="H27" s="397"/>
      <c r="I27" s="397"/>
      <c r="J27" s="397"/>
      <c r="K27" s="397"/>
      <c r="L27" s="397"/>
      <c r="M27" s="397"/>
      <c r="N27" s="397"/>
      <c r="O27" s="397"/>
      <c r="P27" s="257"/>
      <c r="Q27" s="257"/>
      <c r="R27" s="380">
        <f>IF($AR$16&gt;0,(2*'Salary and Allowances'!$X$8)*AR27,0)</f>
        <v>0</v>
      </c>
      <c r="S27" s="380"/>
      <c r="T27" s="249"/>
      <c r="U27" s="245"/>
      <c r="V27" s="206"/>
      <c r="W27" s="260"/>
      <c r="X27" s="298"/>
      <c r="Y27" s="299" t="s">
        <v>251</v>
      </c>
      <c r="Z27" s="298"/>
      <c r="AA27" s="298"/>
      <c r="AB27" s="298"/>
      <c r="AC27" s="298"/>
      <c r="AD27" s="298"/>
      <c r="AE27" s="298"/>
      <c r="AF27" s="298"/>
      <c r="AG27" s="300"/>
      <c r="AH27" s="301"/>
      <c r="AI27" s="299"/>
      <c r="AJ27" s="300"/>
      <c r="AK27" s="302"/>
      <c r="AL27" s="396">
        <f>IFERROR($R$11,"ERROR")</f>
        <v>3360.76</v>
      </c>
      <c r="AM27" s="396"/>
      <c r="AN27" s="303"/>
      <c r="AO27" s="245"/>
      <c r="AQ27" s="182">
        <v>1</v>
      </c>
      <c r="AR27" s="204">
        <f>VLOOKUP(AQ27,DependChild_Order,2,FALSE)</f>
        <v>0</v>
      </c>
      <c r="AS27" s="204" t="s">
        <v>326</v>
      </c>
      <c r="AU27" s="205"/>
      <c r="AV27" s="205"/>
      <c r="AW27" s="205"/>
    </row>
    <row r="28" spans="1:49" ht="12" customHeight="1">
      <c r="A28" s="198"/>
      <c r="B28" s="206"/>
      <c r="C28" s="215"/>
      <c r="D28" s="397"/>
      <c r="E28" s="397"/>
      <c r="F28" s="397"/>
      <c r="G28" s="397"/>
      <c r="H28" s="397"/>
      <c r="I28" s="397"/>
      <c r="J28" s="397"/>
      <c r="K28" s="397"/>
      <c r="L28" s="397"/>
      <c r="M28" s="397"/>
      <c r="N28" s="397"/>
      <c r="O28" s="397"/>
      <c r="P28" s="254"/>
      <c r="Q28" s="254"/>
      <c r="R28" s="381"/>
      <c r="S28" s="381"/>
      <c r="T28" s="249"/>
      <c r="U28" s="245"/>
      <c r="V28" s="206"/>
      <c r="W28" s="260"/>
      <c r="X28" s="304"/>
      <c r="Y28" s="305" t="s">
        <v>1</v>
      </c>
      <c r="Z28" s="304"/>
      <c r="AA28" s="304"/>
      <c r="AB28" s="304"/>
      <c r="AC28" s="304"/>
      <c r="AD28" s="304"/>
      <c r="AE28" s="304"/>
      <c r="AF28" s="304"/>
      <c r="AG28" s="304"/>
      <c r="AH28" s="306"/>
      <c r="AI28" s="305"/>
      <c r="AJ28" s="307"/>
      <c r="AK28" s="308"/>
      <c r="AL28" s="369">
        <f>IFERROR($R$40,"ERROR")</f>
        <v>0</v>
      </c>
      <c r="AM28" s="369"/>
      <c r="AN28" s="303"/>
      <c r="AO28" s="245"/>
      <c r="AQ28" s="182"/>
      <c r="AR28" s="204"/>
      <c r="AS28" s="204"/>
      <c r="AU28" s="205"/>
      <c r="AV28" s="205"/>
      <c r="AW28" s="205"/>
    </row>
    <row r="29" spans="1:49" ht="12" customHeight="1">
      <c r="A29" s="256"/>
      <c r="B29" s="206"/>
      <c r="C29" s="260"/>
      <c r="D29" s="261" t="str">
        <f>"(a) under specific conditions, eu-LISA might reimburse the costs of nursery (only tuition fees) up to a max of "&amp;'Salary and Allowances'!$X$11&amp;" €/child)."</f>
        <v>(a) under specific conditions, eu-LISA might reimburse the costs of nursery (only tuition fees) up to a max of 524.98 €/child).</v>
      </c>
      <c r="E29" s="262"/>
      <c r="F29" s="263"/>
      <c r="G29" s="263"/>
      <c r="H29" s="263"/>
      <c r="I29" s="263"/>
      <c r="J29" s="263"/>
      <c r="K29" s="263"/>
      <c r="L29" s="263"/>
      <c r="M29" s="263"/>
      <c r="N29" s="263"/>
      <c r="O29" s="263"/>
      <c r="P29" s="264"/>
      <c r="Q29" s="265"/>
      <c r="R29" s="393">
        <f>SUM(R18:S27)</f>
        <v>0</v>
      </c>
      <c r="S29" s="393"/>
      <c r="T29" s="226"/>
      <c r="U29" s="227"/>
      <c r="V29" s="206"/>
      <c r="W29" s="260"/>
      <c r="X29" s="304"/>
      <c r="Y29" s="305" t="s">
        <v>0</v>
      </c>
      <c r="Z29" s="304"/>
      <c r="AA29" s="304"/>
      <c r="AB29" s="304"/>
      <c r="AC29" s="304"/>
      <c r="AD29" s="304"/>
      <c r="AE29" s="304"/>
      <c r="AF29" s="304"/>
      <c r="AG29" s="304"/>
      <c r="AH29" s="306"/>
      <c r="AI29" s="305"/>
      <c r="AJ29" s="307"/>
      <c r="AK29" s="308"/>
      <c r="AL29" s="369">
        <f>IFERROR($R$41,"ERROR")</f>
        <v>0</v>
      </c>
      <c r="AM29" s="369"/>
      <c r="AN29" s="303"/>
      <c r="AO29" s="227"/>
      <c r="AQ29" s="204" t="s">
        <v>277</v>
      </c>
      <c r="AR29" s="204">
        <f>SUM(AR18:AR27)</f>
        <v>0</v>
      </c>
      <c r="AS29" s="251"/>
      <c r="AU29" s="205"/>
      <c r="AV29" s="205"/>
      <c r="AW29" s="205"/>
    </row>
    <row r="30" spans="1:49" ht="12" customHeight="1">
      <c r="A30" s="256"/>
      <c r="B30" s="206"/>
      <c r="C30" s="260"/>
      <c r="D30" s="400" t="s">
        <v>324</v>
      </c>
      <c r="E30" s="400"/>
      <c r="F30" s="400"/>
      <c r="G30" s="400"/>
      <c r="H30" s="400"/>
      <c r="I30" s="400"/>
      <c r="J30" s="400"/>
      <c r="K30" s="400"/>
      <c r="L30" s="400"/>
      <c r="M30" s="400"/>
      <c r="N30" s="400"/>
      <c r="O30" s="400"/>
      <c r="P30" s="400"/>
      <c r="Q30" s="400"/>
      <c r="R30" s="372"/>
      <c r="S30" s="372"/>
      <c r="T30" s="226"/>
      <c r="U30" s="227"/>
      <c r="V30" s="206"/>
      <c r="W30" s="215"/>
      <c r="X30" s="304"/>
      <c r="Y30" s="305" t="s">
        <v>71</v>
      </c>
      <c r="Z30" s="304"/>
      <c r="AA30" s="304"/>
      <c r="AB30" s="304"/>
      <c r="AC30" s="304"/>
      <c r="AD30" s="304"/>
      <c r="AE30" s="304"/>
      <c r="AF30" s="304"/>
      <c r="AG30" s="304"/>
      <c r="AH30" s="306"/>
      <c r="AI30" s="305"/>
      <c r="AJ30" s="308"/>
      <c r="AK30" s="308"/>
      <c r="AL30" s="369">
        <f>IFERROR($R$29,"ERROR")</f>
        <v>0</v>
      </c>
      <c r="AM30" s="369"/>
      <c r="AN30" s="303"/>
      <c r="AO30" s="227"/>
      <c r="AQ30" s="251"/>
      <c r="AR30" s="251"/>
      <c r="AS30" s="251"/>
      <c r="AU30" s="205"/>
      <c r="AV30" s="205"/>
      <c r="AW30" s="205"/>
    </row>
    <row r="31" spans="1:49" ht="12" customHeight="1">
      <c r="A31" s="256"/>
      <c r="B31" s="206"/>
      <c r="C31" s="260"/>
      <c r="D31" s="400"/>
      <c r="E31" s="400"/>
      <c r="F31" s="400"/>
      <c r="G31" s="400"/>
      <c r="H31" s="400"/>
      <c r="I31" s="400"/>
      <c r="J31" s="400"/>
      <c r="K31" s="400"/>
      <c r="L31" s="400"/>
      <c r="M31" s="400"/>
      <c r="N31" s="400"/>
      <c r="O31" s="400"/>
      <c r="P31" s="400"/>
      <c r="Q31" s="400"/>
      <c r="R31" s="333"/>
      <c r="S31" s="266"/>
      <c r="T31" s="226"/>
      <c r="U31" s="227"/>
      <c r="V31" s="206"/>
      <c r="W31" s="309"/>
      <c r="X31" s="310"/>
      <c r="Y31" s="305" t="s">
        <v>2</v>
      </c>
      <c r="Z31" s="310"/>
      <c r="AA31" s="310"/>
      <c r="AB31" s="310"/>
      <c r="AC31" s="310"/>
      <c r="AD31" s="310"/>
      <c r="AE31" s="310"/>
      <c r="AF31" s="310"/>
      <c r="AG31" s="310"/>
      <c r="AH31" s="311"/>
      <c r="AI31" s="305"/>
      <c r="AJ31" s="308"/>
      <c r="AK31" s="308"/>
      <c r="AL31" s="369">
        <f>IFERROR($AL$21,"ERROR")</f>
        <v>0</v>
      </c>
      <c r="AM31" s="369"/>
      <c r="AN31" s="303"/>
      <c r="AO31" s="227"/>
      <c r="AQ31" s="251"/>
      <c r="AR31" s="251"/>
      <c r="AS31" s="251"/>
      <c r="AU31" s="205"/>
      <c r="AV31" s="205"/>
      <c r="AW31" s="205"/>
    </row>
    <row r="32" spans="1:49" ht="12" customHeight="1" thickBot="1">
      <c r="A32" s="256"/>
      <c r="B32" s="206"/>
      <c r="C32" s="260"/>
      <c r="D32" s="400" t="s">
        <v>327</v>
      </c>
      <c r="E32" s="400"/>
      <c r="F32" s="400"/>
      <c r="G32" s="400"/>
      <c r="H32" s="400"/>
      <c r="I32" s="400"/>
      <c r="J32" s="400"/>
      <c r="K32" s="400"/>
      <c r="L32" s="400"/>
      <c r="M32" s="400"/>
      <c r="N32" s="400"/>
      <c r="O32" s="400"/>
      <c r="P32" s="400"/>
      <c r="Q32" s="400"/>
      <c r="R32" s="333"/>
      <c r="S32" s="266"/>
      <c r="T32" s="226"/>
      <c r="U32" s="227"/>
      <c r="V32" s="206"/>
      <c r="W32" s="312"/>
      <c r="X32" s="313"/>
      <c r="Y32" s="313"/>
      <c r="Z32" s="313"/>
      <c r="AA32" s="313"/>
      <c r="AB32" s="313"/>
      <c r="AC32" s="313"/>
      <c r="AD32" s="313"/>
      <c r="AE32" s="313"/>
      <c r="AF32" s="313"/>
      <c r="AG32" s="314"/>
      <c r="AH32" s="314"/>
      <c r="AI32" s="377" t="s">
        <v>111</v>
      </c>
      <c r="AJ32" s="377"/>
      <c r="AK32" s="377"/>
      <c r="AL32" s="395">
        <f>IFERROR(SUM(AL27:AM31),"ERROR")</f>
        <v>3360.76</v>
      </c>
      <c r="AM32" s="395"/>
      <c r="AN32" s="315"/>
      <c r="AO32" s="227"/>
      <c r="AQ32" s="251"/>
      <c r="AR32" s="251"/>
      <c r="AS32" s="251"/>
      <c r="AU32" s="205"/>
      <c r="AV32" s="205"/>
      <c r="AW32" s="205"/>
    </row>
    <row r="33" spans="1:49" ht="12" customHeight="1">
      <c r="A33" s="256"/>
      <c r="B33" s="206"/>
      <c r="C33" s="260"/>
      <c r="D33" s="400"/>
      <c r="E33" s="400"/>
      <c r="F33" s="400"/>
      <c r="G33" s="400"/>
      <c r="H33" s="400"/>
      <c r="I33" s="400"/>
      <c r="J33" s="400"/>
      <c r="K33" s="400"/>
      <c r="L33" s="400"/>
      <c r="M33" s="400"/>
      <c r="N33" s="400"/>
      <c r="O33" s="400"/>
      <c r="P33" s="400"/>
      <c r="Q33" s="400"/>
      <c r="R33" s="333"/>
      <c r="S33" s="266"/>
      <c r="T33" s="226"/>
      <c r="U33" s="227"/>
      <c r="V33" s="206"/>
      <c r="W33" s="312"/>
      <c r="X33" s="360"/>
      <c r="Y33" s="361"/>
      <c r="Z33" s="360"/>
      <c r="AA33" s="360"/>
      <c r="AB33" s="360"/>
      <c r="AC33" s="360"/>
      <c r="AD33" s="360"/>
      <c r="AE33" s="360"/>
      <c r="AF33" s="360"/>
      <c r="AG33" s="362"/>
      <c r="AH33" s="363"/>
      <c r="AI33" s="361"/>
      <c r="AJ33" s="364"/>
      <c r="AK33" s="364"/>
      <c r="AL33" s="375"/>
      <c r="AM33" s="375"/>
      <c r="AN33" s="303"/>
      <c r="AO33" s="227"/>
      <c r="AQ33" s="204" t="s">
        <v>147</v>
      </c>
      <c r="AR33" s="204" t="s">
        <v>146</v>
      </c>
      <c r="AS33" s="251"/>
      <c r="AU33" s="205"/>
      <c r="AV33" s="205"/>
      <c r="AW33" s="205"/>
    </row>
    <row r="34" spans="1:49" ht="12" customHeight="1">
      <c r="A34" s="256"/>
      <c r="B34" s="206"/>
      <c r="C34" s="260"/>
      <c r="D34" s="370" t="s">
        <v>347</v>
      </c>
      <c r="E34" s="370"/>
      <c r="F34" s="370"/>
      <c r="G34" s="370"/>
      <c r="H34" s="370"/>
      <c r="I34" s="370"/>
      <c r="J34" s="370"/>
      <c r="K34" s="370"/>
      <c r="L34" s="370"/>
      <c r="M34" s="370"/>
      <c r="N34" s="370"/>
      <c r="O34" s="370"/>
      <c r="P34" s="370"/>
      <c r="Q34" s="370"/>
      <c r="R34" s="370"/>
      <c r="S34" s="266"/>
      <c r="T34" s="226"/>
      <c r="U34" s="227"/>
      <c r="V34" s="206"/>
      <c r="W34" s="312"/>
      <c r="X34" s="316"/>
      <c r="Y34" s="317" t="s">
        <v>246</v>
      </c>
      <c r="Z34" s="316"/>
      <c r="AA34" s="316"/>
      <c r="AB34" s="316"/>
      <c r="AC34" s="316"/>
      <c r="AD34" s="316"/>
      <c r="AE34" s="316"/>
      <c r="AF34" s="316"/>
      <c r="AG34" s="318"/>
      <c r="AH34" s="319">
        <v>1E-3</v>
      </c>
      <c r="AI34" s="317"/>
      <c r="AJ34" s="302"/>
      <c r="AK34" s="302"/>
      <c r="AL34" s="396">
        <f>-IFERROR(AH34*$R$11,"ERROR")</f>
        <v>-3.3607600000000004</v>
      </c>
      <c r="AM34" s="396"/>
      <c r="AN34" s="303"/>
      <c r="AO34" s="227"/>
      <c r="AQ34" s="204">
        <f>VLOOKUP(AS10,T_TA_salaries[],4,FALSE)</f>
        <v>1</v>
      </c>
      <c r="AR34" s="204">
        <f>AR11</f>
        <v>1</v>
      </c>
      <c r="AS34" s="251"/>
      <c r="AU34" s="205"/>
      <c r="AV34" s="205"/>
      <c r="AW34" s="205"/>
    </row>
    <row r="35" spans="1:49" ht="12" customHeight="1">
      <c r="A35" s="256"/>
      <c r="B35" s="206"/>
      <c r="C35" s="260"/>
      <c r="D35" s="370"/>
      <c r="E35" s="370"/>
      <c r="F35" s="370"/>
      <c r="G35" s="370"/>
      <c r="H35" s="370"/>
      <c r="I35" s="370"/>
      <c r="J35" s="370"/>
      <c r="K35" s="370"/>
      <c r="L35" s="370"/>
      <c r="M35" s="370"/>
      <c r="N35" s="370"/>
      <c r="O35" s="370"/>
      <c r="P35" s="370"/>
      <c r="Q35" s="370"/>
      <c r="R35" s="370"/>
      <c r="S35" s="266"/>
      <c r="T35" s="226"/>
      <c r="U35" s="227"/>
      <c r="V35" s="206"/>
      <c r="W35" s="312"/>
      <c r="X35" s="310"/>
      <c r="Y35" s="305" t="s">
        <v>247</v>
      </c>
      <c r="Z35" s="310"/>
      <c r="AA35" s="310"/>
      <c r="AB35" s="310"/>
      <c r="AC35" s="310"/>
      <c r="AD35" s="310"/>
      <c r="AE35" s="310"/>
      <c r="AF35" s="310"/>
      <c r="AG35" s="310"/>
      <c r="AH35" s="320">
        <v>1.7000000000000001E-2</v>
      </c>
      <c r="AI35" s="305"/>
      <c r="AJ35" s="308"/>
      <c r="AK35" s="308"/>
      <c r="AL35" s="369">
        <f>-IFERROR(AH35*$R$11,"ERROR")</f>
        <v>-57.132920000000006</v>
      </c>
      <c r="AM35" s="369"/>
      <c r="AN35" s="303"/>
      <c r="AO35" s="227"/>
      <c r="AQ35" s="251"/>
      <c r="AR35" s="251"/>
      <c r="AS35" s="251"/>
      <c r="AU35" s="205"/>
      <c r="AV35" s="205"/>
      <c r="AW35" s="205"/>
    </row>
    <row r="36" spans="1:49" ht="12" customHeight="1">
      <c r="A36" s="256"/>
      <c r="B36" s="206"/>
      <c r="C36" s="267"/>
      <c r="D36" s="268"/>
      <c r="E36" s="231"/>
      <c r="F36" s="231"/>
      <c r="G36" s="231"/>
      <c r="H36" s="231"/>
      <c r="I36" s="231"/>
      <c r="J36" s="231"/>
      <c r="K36" s="231"/>
      <c r="L36" s="231"/>
      <c r="M36" s="231"/>
      <c r="N36" s="231"/>
      <c r="O36" s="231"/>
      <c r="P36" s="231"/>
      <c r="Q36" s="231"/>
      <c r="R36" s="234"/>
      <c r="S36" s="234"/>
      <c r="T36" s="235"/>
      <c r="U36" s="227"/>
      <c r="V36" s="206"/>
      <c r="W36" s="312"/>
      <c r="X36" s="310"/>
      <c r="Y36" s="305" t="s">
        <v>13</v>
      </c>
      <c r="Z36" s="310"/>
      <c r="AA36" s="310"/>
      <c r="AB36" s="310"/>
      <c r="AC36" s="310"/>
      <c r="AD36" s="310"/>
      <c r="AE36" s="310"/>
      <c r="AF36" s="310"/>
      <c r="AG36" s="310"/>
      <c r="AH36" s="320">
        <v>0.111</v>
      </c>
      <c r="AI36" s="305"/>
      <c r="AJ36" s="308"/>
      <c r="AK36" s="308"/>
      <c r="AL36" s="369">
        <f>-IFERROR(AH36*$R$11,"ERROR")</f>
        <v>-373.04436000000004</v>
      </c>
      <c r="AM36" s="369"/>
      <c r="AN36" s="303"/>
      <c r="AO36" s="227"/>
      <c r="AQ36" s="205"/>
      <c r="AR36" s="269"/>
      <c r="AS36" s="269"/>
      <c r="AU36" s="205"/>
      <c r="AV36" s="205"/>
      <c r="AW36" s="205"/>
    </row>
    <row r="37" spans="1:49" ht="12" customHeight="1">
      <c r="A37" s="256"/>
      <c r="B37" s="206"/>
      <c r="C37" s="270"/>
      <c r="D37" s="270"/>
      <c r="E37" s="183"/>
      <c r="F37" s="183"/>
      <c r="G37" s="183"/>
      <c r="H37" s="271"/>
      <c r="I37" s="271"/>
      <c r="J37" s="271"/>
      <c r="K37" s="271"/>
      <c r="L37" s="271"/>
      <c r="M37" s="271"/>
      <c r="N37" s="271"/>
      <c r="O37" s="271"/>
      <c r="P37" s="271"/>
      <c r="Q37" s="271"/>
      <c r="R37" s="272"/>
      <c r="S37" s="272"/>
      <c r="T37" s="273"/>
      <c r="U37" s="227"/>
      <c r="V37" s="206"/>
      <c r="W37" s="312"/>
      <c r="X37" s="310"/>
      <c r="Y37" s="305" t="s">
        <v>248</v>
      </c>
      <c r="Z37" s="310"/>
      <c r="AA37" s="310"/>
      <c r="AB37" s="310"/>
      <c r="AC37" s="310"/>
      <c r="AD37" s="310"/>
      <c r="AE37" s="310"/>
      <c r="AF37" s="310"/>
      <c r="AG37" s="310"/>
      <c r="AH37" s="320">
        <v>8.0999999999999996E-3</v>
      </c>
      <c r="AI37" s="305"/>
      <c r="AJ37" s="308"/>
      <c r="AK37" s="308"/>
      <c r="AL37" s="369">
        <f>-IFERROR(($R$11-'Salary and Allowances'!$X$48)*AH37,"ERROR")</f>
        <v>-14.754069000000001</v>
      </c>
      <c r="AM37" s="369"/>
      <c r="AN37" s="303"/>
      <c r="AO37" s="227"/>
      <c r="AQ37" s="274"/>
      <c r="AR37" s="214"/>
      <c r="AS37" s="269"/>
      <c r="AU37" s="205"/>
      <c r="AV37" s="205"/>
      <c r="AW37" s="205"/>
    </row>
    <row r="38" spans="1:49" ht="12" customHeight="1">
      <c r="A38" s="256"/>
      <c r="B38" s="206"/>
      <c r="C38" s="275"/>
      <c r="D38" s="241" t="s">
        <v>336</v>
      </c>
      <c r="E38" s="242"/>
      <c r="F38" s="242"/>
      <c r="G38" s="242"/>
      <c r="H38" s="242"/>
      <c r="I38" s="243"/>
      <c r="J38" s="276"/>
      <c r="K38" s="276"/>
      <c r="L38" s="276"/>
      <c r="M38" s="276"/>
      <c r="N38" s="276"/>
      <c r="O38" s="276"/>
      <c r="P38" s="276"/>
      <c r="Q38" s="276"/>
      <c r="R38" s="277"/>
      <c r="S38" s="277"/>
      <c r="T38" s="278"/>
      <c r="U38" s="227"/>
      <c r="V38" s="206"/>
      <c r="W38" s="312"/>
      <c r="X38" s="310"/>
      <c r="Y38" s="305" t="s">
        <v>249</v>
      </c>
      <c r="Z38" s="310"/>
      <c r="AA38" s="310"/>
      <c r="AB38" s="310"/>
      <c r="AC38" s="310"/>
      <c r="AD38" s="310"/>
      <c r="AE38" s="310"/>
      <c r="AF38" s="310"/>
      <c r="AG38" s="310"/>
      <c r="AH38" s="320">
        <f>IF(OR(AND($AQ$34=15,$AR$34&gt;1),$AQ$34&gt;15),7%,6%)</f>
        <v>0.06</v>
      </c>
      <c r="AI38" s="305"/>
      <c r="AJ38" s="308"/>
      <c r="AK38" s="308"/>
      <c r="AL38" s="369">
        <f>-IFERROR('TA Tax'!$R$26,"ERROR")</f>
        <v>0</v>
      </c>
      <c r="AM38" s="369"/>
      <c r="AN38" s="303"/>
      <c r="AO38" s="227"/>
      <c r="AQ38" s="274"/>
      <c r="AR38" s="214"/>
      <c r="AS38" s="269"/>
      <c r="AU38" s="205"/>
      <c r="AV38" s="205"/>
      <c r="AW38" s="205"/>
    </row>
    <row r="39" spans="1:49" ht="12" customHeight="1" thickBot="1">
      <c r="A39" s="256"/>
      <c r="B39" s="206"/>
      <c r="C39" s="279"/>
      <c r="D39" s="352"/>
      <c r="E39" s="352"/>
      <c r="F39" s="352"/>
      <c r="G39" s="352"/>
      <c r="H39" s="352"/>
      <c r="I39" s="352"/>
      <c r="J39" s="352"/>
      <c r="K39" s="352"/>
      <c r="L39" s="352"/>
      <c r="M39" s="212"/>
      <c r="N39" s="212"/>
      <c r="O39" s="212"/>
      <c r="P39" s="212"/>
      <c r="Q39" s="212"/>
      <c r="R39" s="281"/>
      <c r="S39" s="281"/>
      <c r="T39" s="282"/>
      <c r="U39" s="227"/>
      <c r="V39" s="206"/>
      <c r="W39" s="312"/>
      <c r="X39" s="310"/>
      <c r="Y39" s="358" t="s">
        <v>250</v>
      </c>
      <c r="Z39" s="358"/>
      <c r="AA39" s="358"/>
      <c r="AB39" s="358"/>
      <c r="AC39" s="310"/>
      <c r="AD39" s="310"/>
      <c r="AE39" s="310"/>
      <c r="AF39" s="310"/>
      <c r="AG39" s="359"/>
      <c r="AH39" s="359" t="s">
        <v>191</v>
      </c>
      <c r="AI39" s="305"/>
      <c r="AJ39" s="308"/>
      <c r="AK39" s="308"/>
      <c r="AL39" s="369">
        <f>IFERROR(-'TA Tax'!$O$22*$AH$41,"ERROR")</f>
        <v>0</v>
      </c>
      <c r="AM39" s="369"/>
      <c r="AN39" s="303"/>
      <c r="AO39" s="227"/>
      <c r="AQ39" s="274"/>
      <c r="AR39" s="214"/>
      <c r="AS39" s="269"/>
      <c r="AU39" s="331"/>
      <c r="AV39" s="331"/>
      <c r="AW39" s="331"/>
    </row>
    <row r="40" spans="1:49" ht="12" customHeight="1" thickBot="1">
      <c r="A40" s="256"/>
      <c r="B40" s="206"/>
      <c r="C40" s="215"/>
      <c r="D40" s="353" t="s">
        <v>276</v>
      </c>
      <c r="E40" s="283"/>
      <c r="F40" s="283"/>
      <c r="G40" s="283"/>
      <c r="H40" s="283"/>
      <c r="I40" s="283"/>
      <c r="J40" s="283"/>
      <c r="K40" s="283"/>
      <c r="L40" s="283"/>
      <c r="M40" s="365"/>
      <c r="N40" s="398">
        <f>$AR$16</f>
        <v>0</v>
      </c>
      <c r="O40" s="371" t="s">
        <v>274</v>
      </c>
      <c r="P40" s="371"/>
      <c r="Q40" s="371"/>
      <c r="R40" s="372">
        <f>IFERROR(IF($AR$16&gt;0,MAX('Salary and Allowances'!$X$6+0.02*$R$11,'Salary and Allowances'!$X$6),0),0)</f>
        <v>0</v>
      </c>
      <c r="S40" s="372">
        <f>IFERROR(IF(AR16&gt;0,MAX('Salary and Allowances'!$X$6+0.02*$R$11,'Salary and Allowances'!$X$6),0),0)</f>
        <v>0</v>
      </c>
      <c r="T40" s="284"/>
      <c r="U40" s="285"/>
      <c r="V40" s="206"/>
      <c r="W40" s="312"/>
      <c r="X40" s="354"/>
      <c r="Y40" s="354"/>
      <c r="Z40" s="354"/>
      <c r="AA40" s="354"/>
      <c r="AB40" s="354"/>
      <c r="AC40" s="354"/>
      <c r="AD40" s="354"/>
      <c r="AE40" s="354"/>
      <c r="AF40" s="354"/>
      <c r="AG40" s="354"/>
      <c r="AH40" s="355"/>
      <c r="AI40" s="377" t="s">
        <v>77</v>
      </c>
      <c r="AJ40" s="377"/>
      <c r="AK40" s="377"/>
      <c r="AL40" s="378">
        <f>IFERROR(SUM(AL34:AM39),"ERROR")</f>
        <v>-448.29210900000004</v>
      </c>
      <c r="AM40" s="378"/>
      <c r="AN40" s="315"/>
      <c r="AO40" s="285"/>
      <c r="AQ40" s="214"/>
      <c r="AR40" s="274"/>
      <c r="AS40" s="205"/>
    </row>
    <row r="41" spans="1:49" ht="12" customHeight="1" thickBot="1">
      <c r="A41" s="256"/>
      <c r="B41" s="206"/>
      <c r="C41" s="215"/>
      <c r="D41" s="283"/>
      <c r="E41" s="283"/>
      <c r="F41" s="283"/>
      <c r="G41" s="283"/>
      <c r="H41" s="283"/>
      <c r="I41" s="283"/>
      <c r="J41" s="283"/>
      <c r="K41" s="283"/>
      <c r="L41" s="283"/>
      <c r="M41" s="365"/>
      <c r="N41" s="399"/>
      <c r="O41" s="371" t="s">
        <v>275</v>
      </c>
      <c r="P41" s="371"/>
      <c r="Q41" s="371"/>
      <c r="R41" s="372">
        <f>IFERROR(IF($AR$16&gt;0,'Salary and Allowances'!$X$7*$AR$16,0),0)</f>
        <v>0</v>
      </c>
      <c r="S41" s="372">
        <f>IFERROR(IF(AR27&gt;0,MAX('Salary and Allowances'!$X$6+0.02*$R$11,'Salary and Allowances'!$X$6),0),0)</f>
        <v>0</v>
      </c>
      <c r="T41" s="284"/>
      <c r="U41" s="285"/>
      <c r="V41" s="206"/>
      <c r="W41" s="312"/>
      <c r="X41" s="321"/>
      <c r="Y41" s="322" t="s">
        <v>252</v>
      </c>
      <c r="Z41" s="321"/>
      <c r="AA41" s="321"/>
      <c r="AB41" s="321"/>
      <c r="AC41" s="321"/>
      <c r="AD41" s="321"/>
      <c r="AE41" s="321"/>
      <c r="AF41" s="321"/>
      <c r="AG41" s="321"/>
      <c r="AH41" s="323">
        <f>R46</f>
        <v>0.9890000000000001</v>
      </c>
      <c r="AI41" s="324"/>
      <c r="AJ41" s="324"/>
      <c r="AK41" s="324"/>
      <c r="AL41" s="394">
        <f>IFERROR(($AL$32+SUM(AL34:AM38))*($AH$41-1),"ERROR")</f>
        <v>-32.037146800999707</v>
      </c>
      <c r="AM41" s="394"/>
      <c r="AN41" s="303"/>
      <c r="AO41" s="285"/>
      <c r="AQ41" s="214"/>
      <c r="AR41" s="274"/>
      <c r="AS41" s="205"/>
    </row>
    <row r="42" spans="1:49" ht="12" customHeight="1">
      <c r="A42" s="256"/>
      <c r="B42" s="206"/>
      <c r="C42" s="267"/>
      <c r="D42" s="268"/>
      <c r="E42" s="231"/>
      <c r="F42" s="231"/>
      <c r="G42" s="231"/>
      <c r="H42" s="231"/>
      <c r="I42" s="231"/>
      <c r="J42" s="231"/>
      <c r="K42" s="231"/>
      <c r="L42" s="231"/>
      <c r="M42" s="231"/>
      <c r="N42" s="231"/>
      <c r="O42" s="231"/>
      <c r="P42" s="231"/>
      <c r="Q42" s="231"/>
      <c r="R42" s="234"/>
      <c r="S42" s="234"/>
      <c r="T42" s="235"/>
      <c r="U42" s="227"/>
      <c r="V42" s="206"/>
      <c r="W42" s="309"/>
      <c r="X42" s="325"/>
      <c r="Y42" s="325"/>
      <c r="Z42" s="325"/>
      <c r="AA42" s="325"/>
      <c r="AB42" s="325"/>
      <c r="AC42" s="325"/>
      <c r="AD42" s="325"/>
      <c r="AE42" s="325"/>
      <c r="AF42" s="356"/>
      <c r="AG42" s="356"/>
      <c r="AH42" s="326"/>
      <c r="AI42" s="373" t="s">
        <v>194</v>
      </c>
      <c r="AJ42" s="373"/>
      <c r="AK42" s="374">
        <f>IFERROR(AL32+AL40+AL41,"ERROR")</f>
        <v>2880.4307441990004</v>
      </c>
      <c r="AL42" s="374"/>
      <c r="AM42" s="374"/>
      <c r="AN42" s="327"/>
      <c r="AO42" s="227"/>
      <c r="AQ42" s="205"/>
      <c r="AR42" s="269"/>
      <c r="AS42" s="269"/>
    </row>
    <row r="43" spans="1:49" ht="12" customHeight="1">
      <c r="A43" s="256"/>
      <c r="B43" s="206"/>
      <c r="C43" s="191"/>
      <c r="D43" s="191"/>
      <c r="E43" s="191"/>
      <c r="F43" s="191"/>
      <c r="G43" s="191"/>
      <c r="H43" s="191"/>
      <c r="I43" s="191"/>
      <c r="J43" s="191"/>
      <c r="K43" s="191"/>
      <c r="L43" s="191"/>
      <c r="M43" s="191"/>
      <c r="N43" s="191"/>
      <c r="O43" s="191"/>
      <c r="P43" s="191"/>
      <c r="Q43" s="191"/>
      <c r="R43" s="191"/>
      <c r="S43" s="191"/>
      <c r="T43" s="191"/>
      <c r="U43" s="227"/>
      <c r="V43" s="206"/>
      <c r="W43" s="309"/>
      <c r="X43" s="325"/>
      <c r="Y43" s="325"/>
      <c r="Z43" s="325"/>
      <c r="AA43" s="325"/>
      <c r="AB43" s="325"/>
      <c r="AC43" s="325"/>
      <c r="AD43" s="325"/>
      <c r="AE43" s="325"/>
      <c r="AF43" s="356"/>
      <c r="AG43" s="356"/>
      <c r="AH43" s="326"/>
      <c r="AI43" s="373"/>
      <c r="AJ43" s="373"/>
      <c r="AK43" s="374"/>
      <c r="AL43" s="374"/>
      <c r="AM43" s="374"/>
      <c r="AN43" s="327"/>
      <c r="AO43" s="227"/>
      <c r="AQ43" s="197"/>
      <c r="AR43" s="197"/>
      <c r="AS43" s="197"/>
    </row>
    <row r="44" spans="1:49" ht="12" customHeight="1">
      <c r="A44" s="256"/>
      <c r="B44" s="206"/>
      <c r="C44" s="275"/>
      <c r="D44" s="241" t="s">
        <v>337</v>
      </c>
      <c r="E44" s="242"/>
      <c r="F44" s="243"/>
      <c r="G44" s="183"/>
      <c r="H44" s="183"/>
      <c r="I44" s="183"/>
      <c r="J44" s="183"/>
      <c r="K44" s="183"/>
      <c r="L44" s="183"/>
      <c r="M44" s="183"/>
      <c r="N44" s="183"/>
      <c r="O44" s="183"/>
      <c r="P44" s="183"/>
      <c r="Q44" s="289"/>
      <c r="R44" s="183"/>
      <c r="S44" s="183"/>
      <c r="T44" s="183"/>
      <c r="U44" s="227"/>
      <c r="V44" s="206"/>
      <c r="W44" s="309"/>
      <c r="X44" s="376" t="s">
        <v>351</v>
      </c>
      <c r="Y44" s="376"/>
      <c r="Z44" s="376"/>
      <c r="AA44" s="376"/>
      <c r="AB44" s="376"/>
      <c r="AC44" s="376"/>
      <c r="AD44" s="376"/>
      <c r="AE44" s="376"/>
      <c r="AF44" s="376"/>
      <c r="AG44" s="376"/>
      <c r="AH44" s="376"/>
      <c r="AI44" s="376"/>
      <c r="AJ44" s="376"/>
      <c r="AK44" s="376"/>
      <c r="AL44" s="376"/>
      <c r="AM44" s="376"/>
      <c r="AN44" s="327"/>
      <c r="AO44" s="227"/>
      <c r="AQ44" s="204" t="s">
        <v>193</v>
      </c>
      <c r="AR44" s="214"/>
      <c r="AS44" s="269"/>
    </row>
    <row r="45" spans="1:49" ht="6" customHeight="1">
      <c r="A45" s="198"/>
      <c r="B45" s="206"/>
      <c r="C45" s="279"/>
      <c r="D45" s="290"/>
      <c r="E45" s="212"/>
      <c r="F45" s="212"/>
      <c r="G45" s="212"/>
      <c r="H45" s="212"/>
      <c r="I45" s="212"/>
      <c r="J45" s="212"/>
      <c r="K45" s="212"/>
      <c r="L45" s="212"/>
      <c r="M45" s="212"/>
      <c r="N45" s="212"/>
      <c r="O45" s="212"/>
      <c r="P45" s="212"/>
      <c r="Q45" s="212"/>
      <c r="R45" s="212"/>
      <c r="S45" s="212"/>
      <c r="T45" s="213"/>
      <c r="U45" s="210"/>
      <c r="V45" s="206"/>
      <c r="W45" s="309"/>
      <c r="X45" s="376"/>
      <c r="Y45" s="376"/>
      <c r="Z45" s="376"/>
      <c r="AA45" s="376"/>
      <c r="AB45" s="376"/>
      <c r="AC45" s="376"/>
      <c r="AD45" s="376"/>
      <c r="AE45" s="376"/>
      <c r="AF45" s="376"/>
      <c r="AG45" s="376"/>
      <c r="AH45" s="376"/>
      <c r="AI45" s="376"/>
      <c r="AJ45" s="376"/>
      <c r="AK45" s="376"/>
      <c r="AL45" s="376"/>
      <c r="AM45" s="376"/>
      <c r="AN45" s="327"/>
      <c r="AO45" s="210"/>
      <c r="AQ45" s="214"/>
      <c r="AR45" s="274"/>
      <c r="AS45" s="205"/>
    </row>
    <row r="46" spans="1:49" ht="12" customHeight="1">
      <c r="A46" s="256"/>
      <c r="B46" s="206"/>
      <c r="C46" s="260"/>
      <c r="D46" s="216" t="s">
        <v>244</v>
      </c>
      <c r="E46" s="217"/>
      <c r="F46" s="217"/>
      <c r="G46" s="217"/>
      <c r="H46" s="217"/>
      <c r="I46" s="217"/>
      <c r="J46" s="217"/>
      <c r="K46" s="217"/>
      <c r="L46" s="217"/>
      <c r="M46" s="217"/>
      <c r="N46" s="217"/>
      <c r="O46" s="217"/>
      <c r="P46" s="217"/>
      <c r="Q46" s="217"/>
      <c r="R46" s="368">
        <f>VLOOKUP(AQ46,Country_Order,3,FALSE)</f>
        <v>0.9890000000000001</v>
      </c>
      <c r="S46" s="368"/>
      <c r="T46" s="291"/>
      <c r="U46" s="285"/>
      <c r="V46" s="206"/>
      <c r="W46" s="309"/>
      <c r="X46" s="376"/>
      <c r="Y46" s="376"/>
      <c r="Z46" s="376"/>
      <c r="AA46" s="376"/>
      <c r="AB46" s="376"/>
      <c r="AC46" s="376"/>
      <c r="AD46" s="376"/>
      <c r="AE46" s="376"/>
      <c r="AF46" s="376"/>
      <c r="AG46" s="376"/>
      <c r="AH46" s="376"/>
      <c r="AI46" s="376"/>
      <c r="AJ46" s="376"/>
      <c r="AK46" s="376"/>
      <c r="AL46" s="376"/>
      <c r="AM46" s="376"/>
      <c r="AN46" s="327"/>
      <c r="AO46" s="285"/>
      <c r="AQ46" s="182">
        <v>8</v>
      </c>
    </row>
    <row r="47" spans="1:49" ht="12" customHeight="1">
      <c r="A47" s="198"/>
      <c r="B47" s="206"/>
      <c r="C47" s="267"/>
      <c r="D47" s="230"/>
      <c r="E47" s="231"/>
      <c r="F47" s="231"/>
      <c r="G47" s="231"/>
      <c r="H47" s="231"/>
      <c r="I47" s="231"/>
      <c r="J47" s="231"/>
      <c r="K47" s="231"/>
      <c r="L47" s="231"/>
      <c r="M47" s="231"/>
      <c r="N47" s="231"/>
      <c r="O47" s="231"/>
      <c r="P47" s="231"/>
      <c r="Q47" s="231"/>
      <c r="R47" s="292"/>
      <c r="S47" s="292"/>
      <c r="T47" s="293"/>
      <c r="U47" s="288"/>
      <c r="V47" s="206"/>
      <c r="W47" s="328"/>
      <c r="X47" s="388" t="s">
        <v>352</v>
      </c>
      <c r="Y47" s="388"/>
      <c r="Z47" s="329"/>
      <c r="AA47" s="329"/>
      <c r="AB47" s="329"/>
      <c r="AC47" s="329"/>
      <c r="AD47" s="329"/>
      <c r="AE47" s="329"/>
      <c r="AF47" s="329"/>
      <c r="AG47" s="329"/>
      <c r="AH47" s="329"/>
      <c r="AI47" s="329"/>
      <c r="AJ47" s="329"/>
      <c r="AK47" s="329"/>
      <c r="AL47" s="329"/>
      <c r="AM47" s="329"/>
      <c r="AN47" s="330"/>
      <c r="AO47" s="288"/>
    </row>
    <row r="48" spans="1:49" ht="6" customHeight="1">
      <c r="B48" s="348"/>
      <c r="C48" s="349"/>
      <c r="D48" s="349"/>
      <c r="E48" s="349"/>
      <c r="F48" s="349"/>
      <c r="G48" s="349"/>
      <c r="H48" s="349"/>
      <c r="I48" s="349"/>
      <c r="J48" s="349"/>
      <c r="K48" s="349"/>
      <c r="L48" s="349"/>
      <c r="M48" s="349"/>
      <c r="N48" s="349"/>
      <c r="O48" s="349"/>
      <c r="P48" s="349"/>
      <c r="Q48" s="349"/>
      <c r="R48" s="349"/>
      <c r="S48" s="349"/>
      <c r="T48" s="349"/>
      <c r="U48" s="350"/>
      <c r="V48" s="351"/>
      <c r="W48" s="349"/>
      <c r="X48" s="349"/>
      <c r="Y48" s="349"/>
      <c r="Z48" s="349"/>
      <c r="AA48" s="349"/>
      <c r="AB48" s="349"/>
      <c r="AC48" s="349"/>
      <c r="AD48" s="349"/>
      <c r="AE48" s="349"/>
      <c r="AF48" s="349"/>
      <c r="AG48" s="349"/>
      <c r="AH48" s="349"/>
      <c r="AI48" s="349"/>
      <c r="AJ48" s="349"/>
      <c r="AK48" s="349"/>
      <c r="AL48" s="349"/>
      <c r="AM48" s="349"/>
      <c r="AN48" s="349"/>
      <c r="AO48" s="332"/>
    </row>
    <row r="49" customFormat="1" ht="12" hidden="1" customHeight="1"/>
    <row r="50" customFormat="1" ht="12" hidden="1" customHeight="1"/>
    <row r="51" customFormat="1" ht="12" hidden="1" customHeight="1"/>
    <row r="52" customFormat="1" ht="12" hidden="1" customHeight="1"/>
    <row r="53" customFormat="1" ht="12" hidden="1" customHeight="1"/>
    <row r="54" customFormat="1" ht="12" hidden="1" customHeight="1"/>
    <row r="55" customFormat="1" ht="12" hidden="1" customHeight="1"/>
    <row r="56" customFormat="1" ht="12" hidden="1" customHeight="1"/>
    <row r="57" customFormat="1" ht="12" hidden="1" customHeight="1"/>
    <row r="58" customFormat="1" ht="12" hidden="1" customHeight="1"/>
    <row r="59" customFormat="1" ht="12" hidden="1" customHeight="1"/>
    <row r="60" customFormat="1" ht="12" hidden="1" customHeight="1"/>
    <row r="61" customFormat="1" ht="12" hidden="1" customHeight="1"/>
    <row r="62" customFormat="1" ht="12" hidden="1" customHeight="1"/>
    <row r="63" customFormat="1" ht="12" hidden="1" customHeight="1"/>
    <row r="64" customFormat="1" ht="12" hidden="1" customHeight="1"/>
    <row r="65" customFormat="1" ht="12" hidden="1" customHeight="1"/>
    <row r="66" customFormat="1" ht="12" hidden="1" customHeight="1"/>
    <row r="67" customFormat="1" ht="12" hidden="1" customHeight="1"/>
    <row r="68" customFormat="1" ht="12" hidden="1" customHeight="1"/>
    <row r="69" customFormat="1" ht="12" hidden="1" customHeight="1"/>
    <row r="70" customFormat="1" ht="12" hidden="1" customHeight="1"/>
    <row r="71" customFormat="1" ht="12" hidden="1" customHeight="1"/>
    <row r="72" customFormat="1" ht="12" hidden="1" customHeight="1"/>
    <row r="73" customFormat="1" ht="12" hidden="1" customHeight="1"/>
    <row r="74" customFormat="1" ht="12" hidden="1" customHeight="1"/>
    <row r="75" customFormat="1" ht="12" hidden="1" customHeight="1"/>
    <row r="76" customFormat="1" ht="12" hidden="1" customHeight="1"/>
    <row r="77" customFormat="1" ht="12.75" hidden="1" customHeight="1"/>
    <row r="78" customFormat="1" hidden="1"/>
    <row r="79" customFormat="1" hidden="1"/>
    <row r="80" customFormat="1" hidden="1"/>
    <row r="81" customFormat="1" hidden="1"/>
    <row r="82" customFormat="1" hidden="1"/>
    <row r="83" customFormat="1" hidden="1"/>
  </sheetData>
  <sheetProtection algorithmName="SHA-512" hashValue="q+IDsxFnAbiUs5yBnazEHw81zNp7t5h5nRSKy/QWor/4hqvbhDhxiZVFRpCAzYV34vtkxVxemAlIVOwklAOTLg==" saltValue="ZtIvBLMCGibhR4EtLmD9Ig==" spinCount="100000" sheet="1" objects="1" scenarios="1" selectLockedCells="1"/>
  <mergeCells count="53">
    <mergeCell ref="D19:O20"/>
    <mergeCell ref="R19:S20"/>
    <mergeCell ref="D21:O22"/>
    <mergeCell ref="R21:S22"/>
    <mergeCell ref="N40:N41"/>
    <mergeCell ref="D30:Q31"/>
    <mergeCell ref="D32:Q33"/>
    <mergeCell ref="D23:O24"/>
    <mergeCell ref="D25:O26"/>
    <mergeCell ref="D27:O28"/>
    <mergeCell ref="R29:S30"/>
    <mergeCell ref="X47:Y47"/>
    <mergeCell ref="AL18:AM18"/>
    <mergeCell ref="AL19:AM20"/>
    <mergeCell ref="X21:AI22"/>
    <mergeCell ref="AL21:AM22"/>
    <mergeCell ref="AL38:AM38"/>
    <mergeCell ref="AL39:AM39"/>
    <mergeCell ref="AL41:AM41"/>
    <mergeCell ref="AI32:AK32"/>
    <mergeCell ref="AL32:AM32"/>
    <mergeCell ref="AL34:AM34"/>
    <mergeCell ref="AL35:AM35"/>
    <mergeCell ref="AL36:AM36"/>
    <mergeCell ref="AL37:AM37"/>
    <mergeCell ref="AL27:AM27"/>
    <mergeCell ref="AL28:AM28"/>
    <mergeCell ref="Z4:AC5"/>
    <mergeCell ref="R25:S26"/>
    <mergeCell ref="R27:S28"/>
    <mergeCell ref="X10:AJ12"/>
    <mergeCell ref="X13:AJ15"/>
    <mergeCell ref="X16:AJ18"/>
    <mergeCell ref="X19:AJ20"/>
    <mergeCell ref="Q3:Y6"/>
    <mergeCell ref="R23:S24"/>
    <mergeCell ref="R11:S11"/>
    <mergeCell ref="R18:S18"/>
    <mergeCell ref="R46:S46"/>
    <mergeCell ref="AL29:AM29"/>
    <mergeCell ref="AL30:AM30"/>
    <mergeCell ref="AL31:AM31"/>
    <mergeCell ref="D34:R35"/>
    <mergeCell ref="O40:Q40"/>
    <mergeCell ref="R40:S40"/>
    <mergeCell ref="O41:Q41"/>
    <mergeCell ref="R41:S41"/>
    <mergeCell ref="AI42:AJ43"/>
    <mergeCell ref="AK42:AM43"/>
    <mergeCell ref="AL33:AM33"/>
    <mergeCell ref="X44:AM46"/>
    <mergeCell ref="AI40:AK40"/>
    <mergeCell ref="AL40:AM40"/>
  </mergeCells>
  <conditionalFormatting sqref="AL34:AM41">
    <cfRule type="cellIs" dxfId="46" priority="3" operator="lessThan">
      <formula>0</formula>
    </cfRule>
  </conditionalFormatting>
  <printOptions horizontalCentered="1"/>
  <pageMargins left="0.23622047244094491" right="0.23622047244094491" top="0.55118110236220474" bottom="0.74803149606299213" header="0.31496062992125984" footer="0.31496062992125984"/>
  <pageSetup paperSize="9" scale="6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Drop Down 1">
              <controlPr locked="0" defaultSize="0" autoLine="0" autoPict="0">
                <anchor moveWithCells="1">
                  <from>
                    <xdr:col>6</xdr:col>
                    <xdr:colOff>38100</xdr:colOff>
                    <xdr:row>8</xdr:row>
                    <xdr:rowOff>47625</xdr:rowOff>
                  </from>
                  <to>
                    <xdr:col>7</xdr:col>
                    <xdr:colOff>314325</xdr:colOff>
                    <xdr:row>9</xdr:row>
                    <xdr:rowOff>152400</xdr:rowOff>
                  </to>
                </anchor>
              </controlPr>
            </control>
          </mc:Choice>
        </mc:AlternateContent>
        <mc:AlternateContent xmlns:mc="http://schemas.openxmlformats.org/markup-compatibility/2006">
          <mc:Choice Requires="x14">
            <control shapeId="15362" r:id="rId5" name="Drop Down 2">
              <controlPr locked="0" defaultSize="0" autoLine="0" autoPict="0">
                <anchor moveWithCells="1">
                  <from>
                    <xdr:col>6</xdr:col>
                    <xdr:colOff>38100</xdr:colOff>
                    <xdr:row>10</xdr:row>
                    <xdr:rowOff>47625</xdr:rowOff>
                  </from>
                  <to>
                    <xdr:col>7</xdr:col>
                    <xdr:colOff>314325</xdr:colOff>
                    <xdr:row>11</xdr:row>
                    <xdr:rowOff>76200</xdr:rowOff>
                  </to>
                </anchor>
              </controlPr>
            </control>
          </mc:Choice>
        </mc:AlternateContent>
        <mc:AlternateContent xmlns:mc="http://schemas.openxmlformats.org/markup-compatibility/2006">
          <mc:Choice Requires="x14">
            <control shapeId="15363" r:id="rId6" name="Drop Down 3">
              <controlPr locked="0" defaultSize="0" autoLine="0" autoPict="0">
                <anchor moveWithCells="1">
                  <from>
                    <xdr:col>13</xdr:col>
                    <xdr:colOff>428625</xdr:colOff>
                    <xdr:row>44</xdr:row>
                    <xdr:rowOff>133350</xdr:rowOff>
                  </from>
                  <to>
                    <xdr:col>16</xdr:col>
                    <xdr:colOff>390525</xdr:colOff>
                    <xdr:row>46</xdr:row>
                    <xdr:rowOff>66675</xdr:rowOff>
                  </to>
                </anchor>
              </controlPr>
            </control>
          </mc:Choice>
        </mc:AlternateContent>
        <mc:AlternateContent xmlns:mc="http://schemas.openxmlformats.org/markup-compatibility/2006">
          <mc:Choice Requires="x14">
            <control shapeId="15364" r:id="rId7" name="Drop Down 4">
              <controlPr locked="0" defaultSize="0" autoLine="0" autoPict="0">
                <anchor moveWithCells="1">
                  <from>
                    <xdr:col>15</xdr:col>
                    <xdr:colOff>295275</xdr:colOff>
                    <xdr:row>22</xdr:row>
                    <xdr:rowOff>66675</xdr:rowOff>
                  </from>
                  <to>
                    <xdr:col>16</xdr:col>
                    <xdr:colOff>419100</xdr:colOff>
                    <xdr:row>23</xdr:row>
                    <xdr:rowOff>95250</xdr:rowOff>
                  </to>
                </anchor>
              </controlPr>
            </control>
          </mc:Choice>
        </mc:AlternateContent>
        <mc:AlternateContent xmlns:mc="http://schemas.openxmlformats.org/markup-compatibility/2006">
          <mc:Choice Requires="x14">
            <control shapeId="15365" r:id="rId8" name="Drop Down 5">
              <controlPr locked="0" defaultSize="0" autoLine="0" autoPict="0">
                <anchor moveWithCells="1">
                  <from>
                    <xdr:col>15</xdr:col>
                    <xdr:colOff>295275</xdr:colOff>
                    <xdr:row>26</xdr:row>
                    <xdr:rowOff>66675</xdr:rowOff>
                  </from>
                  <to>
                    <xdr:col>16</xdr:col>
                    <xdr:colOff>419100</xdr:colOff>
                    <xdr:row>27</xdr:row>
                    <xdr:rowOff>95250</xdr:rowOff>
                  </to>
                </anchor>
              </controlPr>
            </control>
          </mc:Choice>
        </mc:AlternateContent>
        <mc:AlternateContent xmlns:mc="http://schemas.openxmlformats.org/markup-compatibility/2006">
          <mc:Choice Requires="x14">
            <control shapeId="15366" r:id="rId9" name="Option Button 6">
              <controlPr locked="0" defaultSize="0" autoFill="0" autoLine="0" autoPict="0" altText="Yes">
                <anchor moveWithCells="1">
                  <from>
                    <xdr:col>37</xdr:col>
                    <xdr:colOff>9525</xdr:colOff>
                    <xdr:row>9</xdr:row>
                    <xdr:rowOff>114300</xdr:rowOff>
                  </from>
                  <to>
                    <xdr:col>38</xdr:col>
                    <xdr:colOff>314325</xdr:colOff>
                    <xdr:row>11</xdr:row>
                    <xdr:rowOff>28575</xdr:rowOff>
                  </to>
                </anchor>
              </controlPr>
            </control>
          </mc:Choice>
        </mc:AlternateContent>
        <mc:AlternateContent xmlns:mc="http://schemas.openxmlformats.org/markup-compatibility/2006">
          <mc:Choice Requires="x14">
            <control shapeId="15367" r:id="rId10" name="Option Button 7">
              <controlPr locked="0" defaultSize="0" autoFill="0" autoLine="0" autoPict="0">
                <anchor moveWithCells="1">
                  <from>
                    <xdr:col>37</xdr:col>
                    <xdr:colOff>9525</xdr:colOff>
                    <xdr:row>12</xdr:row>
                    <xdr:rowOff>95250</xdr:rowOff>
                  </from>
                  <to>
                    <xdr:col>38</xdr:col>
                    <xdr:colOff>314325</xdr:colOff>
                    <xdr:row>14</xdr:row>
                    <xdr:rowOff>9525</xdr:rowOff>
                  </to>
                </anchor>
              </controlPr>
            </control>
          </mc:Choice>
        </mc:AlternateContent>
        <mc:AlternateContent xmlns:mc="http://schemas.openxmlformats.org/markup-compatibility/2006">
          <mc:Choice Requires="x14">
            <control shapeId="15368" r:id="rId11" name="Option Button 8">
              <controlPr locked="0" defaultSize="0" autoFill="0" autoLine="0" autoPict="0" altText="Yes">
                <anchor moveWithCells="1">
                  <from>
                    <xdr:col>37</xdr:col>
                    <xdr:colOff>9525</xdr:colOff>
                    <xdr:row>15</xdr:row>
                    <xdr:rowOff>123825</xdr:rowOff>
                  </from>
                  <to>
                    <xdr:col>38</xdr:col>
                    <xdr:colOff>314325</xdr:colOff>
                    <xdr:row>17</xdr:row>
                    <xdr:rowOff>38100</xdr:rowOff>
                  </to>
                </anchor>
              </controlPr>
            </control>
          </mc:Choice>
        </mc:AlternateContent>
        <mc:AlternateContent xmlns:mc="http://schemas.openxmlformats.org/markup-compatibility/2006">
          <mc:Choice Requires="x14">
            <control shapeId="15369" r:id="rId12" name="Option Button 9">
              <controlPr locked="0" defaultSize="0" autoFill="0" autoLine="0" autoPict="0">
                <anchor moveWithCells="1">
                  <from>
                    <xdr:col>37</xdr:col>
                    <xdr:colOff>9525</xdr:colOff>
                    <xdr:row>18</xdr:row>
                    <xdr:rowOff>38100</xdr:rowOff>
                  </from>
                  <to>
                    <xdr:col>38</xdr:col>
                    <xdr:colOff>314325</xdr:colOff>
                    <xdr:row>19</xdr:row>
                    <xdr:rowOff>104775</xdr:rowOff>
                  </to>
                </anchor>
              </controlPr>
            </control>
          </mc:Choice>
        </mc:AlternateContent>
        <mc:AlternateContent xmlns:mc="http://schemas.openxmlformats.org/markup-compatibility/2006">
          <mc:Choice Requires="x14">
            <control shapeId="15370" r:id="rId13" name="Drop Down 10">
              <controlPr locked="0" defaultSize="0" autoLine="0" autoPict="0">
                <anchor moveWithCells="1">
                  <from>
                    <xdr:col>12</xdr:col>
                    <xdr:colOff>142875</xdr:colOff>
                    <xdr:row>15</xdr:row>
                    <xdr:rowOff>19050</xdr:rowOff>
                  </from>
                  <to>
                    <xdr:col>13</xdr:col>
                    <xdr:colOff>266700</xdr:colOff>
                    <xdr:row>16</xdr:row>
                    <xdr:rowOff>47625</xdr:rowOff>
                  </to>
                </anchor>
              </controlPr>
            </control>
          </mc:Choice>
        </mc:AlternateContent>
        <mc:AlternateContent xmlns:mc="http://schemas.openxmlformats.org/markup-compatibility/2006">
          <mc:Choice Requires="x14">
            <control shapeId="15371" r:id="rId14" name="Drop Down 11">
              <controlPr locked="0" defaultSize="0" autoLine="0" autoPict="0">
                <anchor moveWithCells="1">
                  <from>
                    <xdr:col>15</xdr:col>
                    <xdr:colOff>295275</xdr:colOff>
                    <xdr:row>16</xdr:row>
                    <xdr:rowOff>76200</xdr:rowOff>
                  </from>
                  <to>
                    <xdr:col>16</xdr:col>
                    <xdr:colOff>419100</xdr:colOff>
                    <xdr:row>17</xdr:row>
                    <xdr:rowOff>104775</xdr:rowOff>
                  </to>
                </anchor>
              </controlPr>
            </control>
          </mc:Choice>
        </mc:AlternateContent>
        <mc:AlternateContent xmlns:mc="http://schemas.openxmlformats.org/markup-compatibility/2006">
          <mc:Choice Requires="x14">
            <control shapeId="15372" r:id="rId15" name="Drop Down 12">
              <controlPr locked="0" defaultSize="0" autoLine="0" autoPict="0">
                <anchor moveWithCells="1">
                  <from>
                    <xdr:col>15</xdr:col>
                    <xdr:colOff>295275</xdr:colOff>
                    <xdr:row>18</xdr:row>
                    <xdr:rowOff>76200</xdr:rowOff>
                  </from>
                  <to>
                    <xdr:col>16</xdr:col>
                    <xdr:colOff>419100</xdr:colOff>
                    <xdr:row>19</xdr:row>
                    <xdr:rowOff>104775</xdr:rowOff>
                  </to>
                </anchor>
              </controlPr>
            </control>
          </mc:Choice>
        </mc:AlternateContent>
        <mc:AlternateContent xmlns:mc="http://schemas.openxmlformats.org/markup-compatibility/2006">
          <mc:Choice Requires="x14">
            <control shapeId="15373" r:id="rId16" name="Drop Down 13">
              <controlPr locked="0" defaultSize="0" autoLine="0" autoPict="0">
                <anchor moveWithCells="1">
                  <from>
                    <xdr:col>15</xdr:col>
                    <xdr:colOff>295275</xdr:colOff>
                    <xdr:row>20</xdr:row>
                    <xdr:rowOff>76200</xdr:rowOff>
                  </from>
                  <to>
                    <xdr:col>16</xdr:col>
                    <xdr:colOff>419100</xdr:colOff>
                    <xdr:row>21</xdr:row>
                    <xdr:rowOff>95250</xdr:rowOff>
                  </to>
                </anchor>
              </controlPr>
            </control>
          </mc:Choice>
        </mc:AlternateContent>
        <mc:AlternateContent xmlns:mc="http://schemas.openxmlformats.org/markup-compatibility/2006">
          <mc:Choice Requires="x14">
            <control shapeId="15374" r:id="rId17" name="Drop Down 14">
              <controlPr locked="0" defaultSize="0" autoLine="0" autoPict="0">
                <anchor moveWithCells="1">
                  <from>
                    <xdr:col>15</xdr:col>
                    <xdr:colOff>295275</xdr:colOff>
                    <xdr:row>24</xdr:row>
                    <xdr:rowOff>66675</xdr:rowOff>
                  </from>
                  <to>
                    <xdr:col>16</xdr:col>
                    <xdr:colOff>419100</xdr:colOff>
                    <xdr:row>25</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506EE-29A5-4BDA-8D86-B4FC5207C379}">
  <sheetPr codeName="Sheet5">
    <tabColor rgb="FF92D050"/>
  </sheetPr>
  <dimension ref="B1:S32"/>
  <sheetViews>
    <sheetView showGridLines="0" zoomScaleNormal="100" workbookViewId="0"/>
  </sheetViews>
  <sheetFormatPr defaultRowHeight="15" customHeight="1"/>
  <cols>
    <col min="1" max="1" width="2.42578125" style="35" customWidth="1"/>
    <col min="2" max="2" width="9.7109375" style="35" customWidth="1"/>
    <col min="3" max="3" width="8.28515625" style="35" bestFit="1" customWidth="1"/>
    <col min="4" max="5" width="11" style="35" customWidth="1"/>
    <col min="6" max="6" width="9.42578125" style="35" bestFit="1" customWidth="1"/>
    <col min="7" max="7" width="11.85546875" style="35" bestFit="1" customWidth="1"/>
    <col min="8" max="9" width="15.42578125" style="35" bestFit="1" customWidth="1"/>
    <col min="10" max="10" width="3.42578125" style="35" customWidth="1"/>
    <col min="11" max="12" width="19.7109375" style="35" bestFit="1" customWidth="1"/>
    <col min="13" max="13" width="3.5703125" style="35" customWidth="1"/>
    <col min="14" max="14" width="27.42578125" style="35" bestFit="1" customWidth="1"/>
    <col min="15" max="15" width="13.85546875" style="35" customWidth="1"/>
    <col min="16" max="16" width="3.85546875" style="35" customWidth="1"/>
    <col min="17" max="17" width="20.42578125" style="35" bestFit="1" customWidth="1"/>
    <col min="18" max="18" width="16" style="35" customWidth="1"/>
    <col min="19" max="19" width="8.28515625" style="35" bestFit="1" customWidth="1"/>
    <col min="20" max="16384" width="9.140625" style="35"/>
  </cols>
  <sheetData>
    <row r="1" spans="2:19" ht="15" customHeight="1">
      <c r="B1" s="34" t="s">
        <v>155</v>
      </c>
      <c r="L1" s="27" t="s">
        <v>146</v>
      </c>
    </row>
    <row r="2" spans="2:19" ht="15" customHeight="1">
      <c r="B2" s="27" t="s">
        <v>69</v>
      </c>
      <c r="C2" s="36">
        <f>'Salary and Allowances'!$X$50</f>
        <v>6.9855</v>
      </c>
      <c r="I2" s="53"/>
      <c r="K2" s="28" t="s">
        <v>200</v>
      </c>
      <c r="L2" s="29" t="s">
        <v>148</v>
      </c>
    </row>
    <row r="3" spans="2:19" ht="15" customHeight="1">
      <c r="K3" s="30" t="s">
        <v>97</v>
      </c>
      <c r="L3" s="31">
        <f>INDEX(T_TA_salaries[],MATCH($K$3,T_TA_salaries[Function Group],0),MATCH($L$2,T_TA_salaries[#Headers],0))</f>
        <v>3360.76</v>
      </c>
    </row>
    <row r="5" spans="2:19" s="39" customFormat="1" ht="18" customHeight="1">
      <c r="B5" s="37" t="s">
        <v>6</v>
      </c>
      <c r="C5" s="38"/>
      <c r="D5" s="38"/>
      <c r="E5" s="38"/>
      <c r="F5" s="38"/>
      <c r="G5" s="38"/>
      <c r="H5" s="38"/>
    </row>
    <row r="6" spans="2:19" s="41" customFormat="1" ht="26.25" customHeight="1">
      <c r="B6" s="40" t="s">
        <v>157</v>
      </c>
      <c r="C6" s="40" t="s">
        <v>154</v>
      </c>
      <c r="D6" s="40" t="s">
        <v>7</v>
      </c>
      <c r="E6" s="40" t="s">
        <v>8</v>
      </c>
      <c r="F6" s="40" t="s">
        <v>192</v>
      </c>
      <c r="G6" s="40" t="s">
        <v>5</v>
      </c>
      <c r="H6" s="40" t="s">
        <v>9</v>
      </c>
      <c r="I6" s="40" t="s">
        <v>209</v>
      </c>
      <c r="K6" s="89" t="s">
        <v>201</v>
      </c>
      <c r="L6" s="90" t="s">
        <v>153</v>
      </c>
      <c r="N6" s="402" t="s">
        <v>213</v>
      </c>
      <c r="O6" s="402"/>
      <c r="Q6" s="401" t="s">
        <v>216</v>
      </c>
      <c r="R6" s="401"/>
    </row>
    <row r="7" spans="2:19" ht="15" customHeight="1">
      <c r="B7" s="80">
        <v>1</v>
      </c>
      <c r="C7" s="42">
        <v>19.91</v>
      </c>
      <c r="D7" s="42">
        <v>0</v>
      </c>
      <c r="E7" s="43">
        <f>T_TA_Tax[[#This Row],[Year 1968]]*$C$2</f>
        <v>139.08130500000001</v>
      </c>
      <c r="F7" s="43">
        <f>T_TA_Tax[[#This Row],[To]]-T_TA_Tax[[#This Row],[From]]</f>
        <v>139.08130500000001</v>
      </c>
      <c r="G7" s="44">
        <v>0</v>
      </c>
      <c r="H7" s="43">
        <f>T_TA_Tax[[#This Row],[Rate]]*T_TA_Tax[[#This Row],[Salary
bracket]]</f>
        <v>0</v>
      </c>
      <c r="I7" s="43">
        <v>0</v>
      </c>
      <c r="K7" s="76" t="s">
        <v>4</v>
      </c>
      <c r="L7" s="51">
        <f>'Temporary Staff'!$AL$27</f>
        <v>3360.76</v>
      </c>
      <c r="N7" s="45" t="s">
        <v>16</v>
      </c>
      <c r="O7" s="46" t="s">
        <v>153</v>
      </c>
      <c r="Q7" s="45" t="s">
        <v>16</v>
      </c>
      <c r="R7" s="46" t="s">
        <v>153</v>
      </c>
    </row>
    <row r="8" spans="2:19" ht="15" customHeight="1">
      <c r="B8" s="81">
        <v>2</v>
      </c>
      <c r="C8" s="43">
        <v>351.46</v>
      </c>
      <c r="D8" s="55">
        <f>E7+0.000001</f>
        <v>139.08130600000001</v>
      </c>
      <c r="E8" s="43">
        <f>T_TA_Tax[[#This Row],[Year 1968]]*$C$2</f>
        <v>2455.12383</v>
      </c>
      <c r="F8" s="43">
        <f>T_TA_Tax[[#This Row],[To]]-E7</f>
        <v>2316.0425249999998</v>
      </c>
      <c r="G8" s="44">
        <v>0.08</v>
      </c>
      <c r="H8" s="43">
        <f>T_TA_Tax[[#This Row],[Rate]]*T_TA_Tax[[#This Row],[Salary
bracket]]</f>
        <v>185.283402</v>
      </c>
      <c r="I8" s="43">
        <f>T_TA_Tax[[#This Row],[Tax payable]]+I7</f>
        <v>185.283402</v>
      </c>
      <c r="K8" s="76" t="s">
        <v>1</v>
      </c>
      <c r="L8" s="51">
        <f>'Temporary Staff'!$AL$28</f>
        <v>0</v>
      </c>
      <c r="N8" s="76" t="s">
        <v>204</v>
      </c>
      <c r="O8" s="51">
        <f>ROUND(90%*$L$7,2)</f>
        <v>3024.68</v>
      </c>
      <c r="Q8" s="76" t="s">
        <v>204</v>
      </c>
      <c r="R8" s="51">
        <f>ROUND(90%*$L$7,2)</f>
        <v>3024.68</v>
      </c>
    </row>
    <row r="9" spans="2:19" ht="15" customHeight="1">
      <c r="B9" s="82">
        <v>3</v>
      </c>
      <c r="C9" s="55">
        <v>484.09</v>
      </c>
      <c r="D9" s="55">
        <f>E8+0.000001</f>
        <v>2455.1238309999999</v>
      </c>
      <c r="E9" s="55">
        <f>T_TA_Tax[[#This Row],[Year 1968]]*$C$2</f>
        <v>3381.6106949999999</v>
      </c>
      <c r="F9" s="55">
        <f>T_TA_Tax[[#This Row],[To]]-E8</f>
        <v>926.48686499999985</v>
      </c>
      <c r="G9" s="56">
        <v>0.1</v>
      </c>
      <c r="H9" s="55">
        <f>T_TA_Tax[[#This Row],[Rate]]*T_TA_Tax[[#This Row],[Salary
bracket]]</f>
        <v>92.648686499999997</v>
      </c>
      <c r="I9" s="55">
        <f>T_TA_Tax[[#This Row],[Tax payable]]+I8</f>
        <v>277.93208849999996</v>
      </c>
      <c r="K9" s="76" t="s">
        <v>0</v>
      </c>
      <c r="L9" s="51">
        <f>'Temporary Staff'!$AL$29</f>
        <v>0</v>
      </c>
      <c r="N9" s="76" t="s">
        <v>203</v>
      </c>
      <c r="O9" s="51">
        <f>ROUND(SUM($L$12:$L$15),2)</f>
        <v>-448.29</v>
      </c>
      <c r="Q9" s="76" t="s">
        <v>203</v>
      </c>
      <c r="R9" s="51">
        <f>ROUND(SUM($L$12:$L$15),2)</f>
        <v>-448.29</v>
      </c>
    </row>
    <row r="10" spans="2:19" ht="15" customHeight="1">
      <c r="B10" s="81">
        <v>4</v>
      </c>
      <c r="C10" s="43">
        <v>554.79</v>
      </c>
      <c r="D10" s="43">
        <f t="shared" ref="D10:D21" si="0">E9+0.000001</f>
        <v>3381.6106959999997</v>
      </c>
      <c r="E10" s="43">
        <f>T_TA_Tax[[#This Row],[Year 1968]]*$C$2</f>
        <v>3875.4855449999995</v>
      </c>
      <c r="F10" s="43">
        <f>T_TA_Tax[[#This Row],[To]]-E9</f>
        <v>493.8748499999997</v>
      </c>
      <c r="G10" s="44">
        <v>0.125</v>
      </c>
      <c r="H10" s="43">
        <f>T_TA_Tax[[#This Row],[Rate]]*T_TA_Tax[[#This Row],[Salary
bracket]]</f>
        <v>61.734356249999962</v>
      </c>
      <c r="I10" s="43">
        <f>T_TA_Tax[[#This Row],[Tax payable]]+I9</f>
        <v>339.66644474999993</v>
      </c>
      <c r="K10" s="76" t="s">
        <v>71</v>
      </c>
      <c r="L10" s="51">
        <f>'Temporary Staff'!$AL$30</f>
        <v>0</v>
      </c>
      <c r="N10" s="76" t="s">
        <v>205</v>
      </c>
      <c r="O10" s="51">
        <f>-ROUND(2*SUM($L$9),2)</f>
        <v>0</v>
      </c>
      <c r="Q10" s="76"/>
      <c r="R10" s="51"/>
    </row>
    <row r="11" spans="2:19" ht="15" customHeight="1">
      <c r="B11" s="82">
        <v>5</v>
      </c>
      <c r="C11" s="43">
        <v>629.97</v>
      </c>
      <c r="D11" s="43">
        <f t="shared" si="0"/>
        <v>3875.4855459999994</v>
      </c>
      <c r="E11" s="43">
        <f>T_TA_Tax[[#This Row],[Year 1968]]*$C$2</f>
        <v>4400.6554350000006</v>
      </c>
      <c r="F11" s="43">
        <f>T_TA_Tax[[#This Row],[To]]-E10</f>
        <v>525.16989000000103</v>
      </c>
      <c r="G11" s="44">
        <v>0.15</v>
      </c>
      <c r="H11" s="43">
        <f>T_TA_Tax[[#This Row],[Rate]]*T_TA_Tax[[#This Row],[Salary
bracket]]</f>
        <v>78.775483500000149</v>
      </c>
      <c r="I11" s="43">
        <f>T_TA_Tax[[#This Row],[Tax payable]]+I10</f>
        <v>418.44192825000005</v>
      </c>
      <c r="K11" s="77" t="s">
        <v>2</v>
      </c>
      <c r="L11" s="74">
        <f>'Temporary Staff'!$AL$31</f>
        <v>0</v>
      </c>
      <c r="N11" s="45" t="s">
        <v>16</v>
      </c>
      <c r="O11" s="46">
        <f>IF(SUM($O$8:$O$10)&lt;0,0,SUM($O$8:$O$10))</f>
        <v>2576.39</v>
      </c>
      <c r="Q11" s="45" t="s">
        <v>16</v>
      </c>
      <c r="R11" s="46">
        <f>IF(SUM($R$8:$R$10)&lt;0,0,SUM($R$8:$R$10))</f>
        <v>2576.39</v>
      </c>
      <c r="S11" s="51"/>
    </row>
    <row r="12" spans="2:19" ht="15" customHeight="1">
      <c r="B12" s="81">
        <v>6</v>
      </c>
      <c r="C12" s="43">
        <v>700.67</v>
      </c>
      <c r="D12" s="43">
        <f t="shared" si="0"/>
        <v>4400.6554360000009</v>
      </c>
      <c r="E12" s="43">
        <f>T_TA_Tax[[#This Row],[Year 1968]]*$C$2</f>
        <v>4894.5302849999998</v>
      </c>
      <c r="F12" s="43">
        <f>T_TA_Tax[[#This Row],[To]]-E11</f>
        <v>493.87484999999924</v>
      </c>
      <c r="G12" s="44">
        <v>0.17499999999999999</v>
      </c>
      <c r="H12" s="43">
        <f>T_TA_Tax[[#This Row],[Rate]]*T_TA_Tax[[#This Row],[Salary
bracket]]</f>
        <v>86.428098749999862</v>
      </c>
      <c r="I12" s="43">
        <f>T_TA_Tax[[#This Row],[Tax payable]]+I11</f>
        <v>504.87002699999994</v>
      </c>
      <c r="K12" s="78" t="s">
        <v>10</v>
      </c>
      <c r="L12" s="43">
        <f>'Temporary Staff'!$AL$34</f>
        <v>-3.3607600000000004</v>
      </c>
    </row>
    <row r="13" spans="2:19" ht="15" customHeight="1">
      <c r="B13" s="82">
        <v>7</v>
      </c>
      <c r="C13" s="43">
        <v>769.21</v>
      </c>
      <c r="D13" s="43">
        <f t="shared" si="0"/>
        <v>4894.5302860000002</v>
      </c>
      <c r="E13" s="43">
        <f>T_TA_Tax[[#This Row],[Year 1968]]*$C$2</f>
        <v>5373.3164550000001</v>
      </c>
      <c r="F13" s="43">
        <f>T_TA_Tax[[#This Row],[To]]-E12</f>
        <v>478.78617000000031</v>
      </c>
      <c r="G13" s="44">
        <v>0.2</v>
      </c>
      <c r="H13" s="43">
        <f>T_TA_Tax[[#This Row],[Rate]]*T_TA_Tax[[#This Row],[Salary
bracket]]</f>
        <v>95.757234000000068</v>
      </c>
      <c r="I13" s="43">
        <f>T_TA_Tax[[#This Row],[Tax payable]]+I12</f>
        <v>600.62726099999998</v>
      </c>
      <c r="K13" s="78" t="s">
        <v>11</v>
      </c>
      <c r="L13" s="43">
        <f>'Temporary Staff'!$AL$35</f>
        <v>-57.132920000000006</v>
      </c>
      <c r="N13" s="54" t="s">
        <v>14</v>
      </c>
      <c r="O13" s="83"/>
      <c r="Q13" s="54" t="s">
        <v>14</v>
      </c>
      <c r="R13" s="83"/>
    </row>
    <row r="14" spans="2:19" ht="15" customHeight="1">
      <c r="B14" s="81">
        <v>8</v>
      </c>
      <c r="C14" s="43">
        <v>839.94</v>
      </c>
      <c r="D14" s="43">
        <f t="shared" si="0"/>
        <v>5373.3164560000005</v>
      </c>
      <c r="E14" s="43">
        <f>T_TA_Tax[[#This Row],[Year 1968]]*$C$2</f>
        <v>5867.4008700000004</v>
      </c>
      <c r="F14" s="43">
        <f>T_TA_Tax[[#This Row],[To]]-E13</f>
        <v>494.08441500000026</v>
      </c>
      <c r="G14" s="44">
        <v>0.22500000000000001</v>
      </c>
      <c r="H14" s="43">
        <f>T_TA_Tax[[#This Row],[Rate]]*T_TA_Tax[[#This Row],[Salary
bracket]]</f>
        <v>111.16899337500006</v>
      </c>
      <c r="I14" s="43">
        <f>T_TA_Tax[[#This Row],[Tax payable]]+I13</f>
        <v>711.79625437499999</v>
      </c>
      <c r="K14" s="78" t="s">
        <v>13</v>
      </c>
      <c r="L14" s="43">
        <f>'Temporary Staff'!$AL$36</f>
        <v>-373.04436000000004</v>
      </c>
      <c r="N14" s="47" t="s">
        <v>206</v>
      </c>
      <c r="O14" s="35">
        <f>MATCH(O11,T_TA_Tax[From],1)</f>
        <v>3</v>
      </c>
      <c r="Q14" s="47" t="s">
        <v>206</v>
      </c>
      <c r="R14" s="35">
        <f>MATCH(R11,T_TA_Tax[From],1)</f>
        <v>3</v>
      </c>
    </row>
    <row r="15" spans="2:19" ht="15" customHeight="1">
      <c r="B15" s="82">
        <v>9</v>
      </c>
      <c r="C15" s="43">
        <v>908.48</v>
      </c>
      <c r="D15" s="43">
        <f t="shared" si="0"/>
        <v>5867.4008710000007</v>
      </c>
      <c r="E15" s="43">
        <f>T_TA_Tax[[#This Row],[Year 1968]]*$C$2</f>
        <v>6346.1870399999998</v>
      </c>
      <c r="F15" s="43">
        <f>T_TA_Tax[[#This Row],[To]]-E14</f>
        <v>478.7861699999994</v>
      </c>
      <c r="G15" s="44">
        <v>0.25</v>
      </c>
      <c r="H15" s="43">
        <f>T_TA_Tax[[#This Row],[Rate]]*T_TA_Tax[[#This Row],[Salary
bracket]]</f>
        <v>119.69654249999985</v>
      </c>
      <c r="I15" s="43">
        <f>T_TA_Tax[[#This Row],[Tax payable]]+I14</f>
        <v>831.49279687499984</v>
      </c>
      <c r="K15" s="79" t="s">
        <v>12</v>
      </c>
      <c r="L15" s="75">
        <f>'Temporary Staff'!$AL$37</f>
        <v>-14.754069000000001</v>
      </c>
      <c r="N15" s="47" t="s">
        <v>207</v>
      </c>
      <c r="O15" s="51">
        <f>VLOOKUP(O14,T_TA_Tax[],MATCH(N15,T_TA_Tax[#Headers],0),FALSE)</f>
        <v>2455.1238309999999</v>
      </c>
      <c r="Q15" s="47" t="s">
        <v>207</v>
      </c>
      <c r="R15" s="51">
        <f>VLOOKUP(R14,T_TA_Tax[],MATCH(Q15,T_TA_Tax[#Headers],0),FALSE)</f>
        <v>2455.1238309999999</v>
      </c>
    </row>
    <row r="16" spans="2:19" ht="15" customHeight="1">
      <c r="B16" s="81">
        <v>10</v>
      </c>
      <c r="C16" s="43">
        <v>979.18</v>
      </c>
      <c r="D16" s="43">
        <f t="shared" si="0"/>
        <v>6346.1870410000001</v>
      </c>
      <c r="E16" s="43">
        <f>T_TA_Tax[[#This Row],[Year 1968]]*$C$2</f>
        <v>6840.0618899999999</v>
      </c>
      <c r="F16" s="43">
        <f>T_TA_Tax[[#This Row],[To]]-E15</f>
        <v>493.87485000000015</v>
      </c>
      <c r="G16" s="44">
        <v>0.27500000000000002</v>
      </c>
      <c r="H16" s="43">
        <f>T_TA_Tax[[#This Row],[Rate]]*T_TA_Tax[[#This Row],[Salary
bracket]]</f>
        <v>135.81558375000006</v>
      </c>
      <c r="I16" s="43">
        <f>T_TA_Tax[[#This Row],[Tax payable]]+I15</f>
        <v>967.30838062499993</v>
      </c>
      <c r="K16" s="76" t="s">
        <v>202</v>
      </c>
      <c r="L16" s="51">
        <f>-$L$3</f>
        <v>-3360.76</v>
      </c>
      <c r="N16" s="47" t="s">
        <v>208</v>
      </c>
      <c r="O16" s="51">
        <f>VLOOKUP(O14,T_TA_Tax[],MATCH(N16,T_TA_Tax[#Headers],0),FALSE)</f>
        <v>3381.6106949999999</v>
      </c>
      <c r="Q16" s="47" t="s">
        <v>208</v>
      </c>
      <c r="R16" s="51">
        <f>VLOOKUP(R14,T_TA_Tax[],MATCH(Q16,T_TA_Tax[#Headers],0),FALSE)</f>
        <v>3381.6106949999999</v>
      </c>
    </row>
    <row r="17" spans="2:19" ht="15" customHeight="1">
      <c r="B17" s="82">
        <v>11</v>
      </c>
      <c r="C17" s="43">
        <v>1047.72</v>
      </c>
      <c r="D17" s="43">
        <f t="shared" si="0"/>
        <v>6840.0618910000003</v>
      </c>
      <c r="E17" s="43">
        <f>T_TA_Tax[[#This Row],[Year 1968]]*$C$2</f>
        <v>7318.8480600000003</v>
      </c>
      <c r="F17" s="43">
        <f>T_TA_Tax[[#This Row],[To]]-E16</f>
        <v>478.78617000000031</v>
      </c>
      <c r="G17" s="44">
        <v>0.3</v>
      </c>
      <c r="H17" s="43">
        <f>T_TA_Tax[[#This Row],[Rate]]*T_TA_Tax[[#This Row],[Salary
bracket]]</f>
        <v>143.63585100000009</v>
      </c>
      <c r="I17" s="43">
        <f>T_TA_Tax[[#This Row],[Tax payable]]+I16</f>
        <v>1110.9442316249999</v>
      </c>
      <c r="K17" s="89" t="s">
        <v>201</v>
      </c>
      <c r="L17" s="90">
        <f>MAX(0,SUM(L7:L11)+SUM(L12:L15,L16))</f>
        <v>0</v>
      </c>
      <c r="N17" s="47" t="s">
        <v>5</v>
      </c>
      <c r="O17" s="50">
        <f>VLOOKUP(O14,T_TA_Tax[],MATCH(N17,T_TA_Tax[#Headers],0),FALSE)</f>
        <v>0.1</v>
      </c>
      <c r="Q17" s="47" t="s">
        <v>5</v>
      </c>
      <c r="R17" s="50">
        <f>VLOOKUP(R14,T_TA_Tax[],MATCH(Q17,T_TA_Tax[#Headers],0),FALSE)</f>
        <v>0.1</v>
      </c>
    </row>
    <row r="18" spans="2:19" ht="15" customHeight="1">
      <c r="B18" s="81">
        <v>12</v>
      </c>
      <c r="C18" s="43">
        <v>1118.45</v>
      </c>
      <c r="D18" s="43">
        <f t="shared" si="0"/>
        <v>7318.8480610000006</v>
      </c>
      <c r="E18" s="43">
        <f>T_TA_Tax[[#This Row],[Year 1968]]*$C$2</f>
        <v>7812.9324750000005</v>
      </c>
      <c r="F18" s="43">
        <f>T_TA_Tax[[#This Row],[To]]-E17</f>
        <v>494.08441500000026</v>
      </c>
      <c r="G18" s="44">
        <v>0.32500000000000001</v>
      </c>
      <c r="H18" s="43">
        <f>T_TA_Tax[[#This Row],[Rate]]*T_TA_Tax[[#This Row],[Salary
bracket]]</f>
        <v>160.57743487500008</v>
      </c>
      <c r="I18" s="43">
        <f>T_TA_Tax[[#This Row],[Tax payable]]+I17</f>
        <v>1271.5216665</v>
      </c>
      <c r="N18" s="47" t="s">
        <v>210</v>
      </c>
      <c r="O18" s="48">
        <f>(O11-O15)*O17</f>
        <v>12.1266169</v>
      </c>
      <c r="Q18" s="47" t="s">
        <v>210</v>
      </c>
      <c r="R18" s="51">
        <f>(R11-R15)*R17</f>
        <v>12.1266169</v>
      </c>
    </row>
    <row r="19" spans="2:19" ht="15" customHeight="1">
      <c r="B19" s="82">
        <v>13</v>
      </c>
      <c r="C19" s="43">
        <v>1186.99</v>
      </c>
      <c r="D19" s="43">
        <f t="shared" si="0"/>
        <v>7812.9324760000009</v>
      </c>
      <c r="E19" s="43">
        <f>T_TA_Tax[[#This Row],[Year 1968]]*$C$2</f>
        <v>8291.7186450000008</v>
      </c>
      <c r="F19" s="43">
        <f>T_TA_Tax[[#This Row],[To]]-E18</f>
        <v>478.78617000000031</v>
      </c>
      <c r="G19" s="44">
        <v>0.35</v>
      </c>
      <c r="H19" s="43">
        <f>T_TA_Tax[[#This Row],[Rate]]*T_TA_Tax[[#This Row],[Salary
bracket]]</f>
        <v>167.5751595000001</v>
      </c>
      <c r="I19" s="43">
        <f>T_TA_Tax[[#This Row],[Tax payable]]+I18</f>
        <v>1439.0968260000002</v>
      </c>
      <c r="N19" s="47" t="s">
        <v>209</v>
      </c>
      <c r="O19" s="51">
        <f>VLOOKUP(IF(O14-1&lt;=0,1,O14-1),T_TA_Tax[],MATCH(N19,T_TA_Tax[#Headers],0),FALSE)</f>
        <v>185.283402</v>
      </c>
      <c r="Q19" s="47" t="s">
        <v>209</v>
      </c>
      <c r="R19" s="51">
        <f>VLOOKUP(IF(R14-1&lt;=0,1,R14-1),T_TA_Tax[],MATCH(Q19,T_TA_Tax[#Headers],0),FALSE)</f>
        <v>185.283402</v>
      </c>
    </row>
    <row r="20" spans="2:19" ht="15" customHeight="1">
      <c r="B20" s="81">
        <v>14</v>
      </c>
      <c r="C20" s="43">
        <v>1257.69</v>
      </c>
      <c r="D20" s="43">
        <f t="shared" si="0"/>
        <v>8291.7186460000012</v>
      </c>
      <c r="E20" s="43">
        <f>T_TA_Tax[[#This Row],[Year 1968]]*$C$2</f>
        <v>8785.593495000001</v>
      </c>
      <c r="F20" s="43">
        <f>T_TA_Tax[[#This Row],[To]]-E19</f>
        <v>493.87485000000015</v>
      </c>
      <c r="G20" s="44">
        <v>0.4</v>
      </c>
      <c r="H20" s="43">
        <f>T_TA_Tax[[#This Row],[Rate]]*T_TA_Tax[[#This Row],[Salary
bracket]]</f>
        <v>197.54994000000008</v>
      </c>
      <c r="I20" s="43">
        <f>T_TA_Tax[[#This Row],[Tax payable]]+I19</f>
        <v>1636.6467660000003</v>
      </c>
      <c r="N20" s="45" t="s">
        <v>213</v>
      </c>
      <c r="O20" s="46">
        <f>+O19+O18</f>
        <v>197.41001889999998</v>
      </c>
      <c r="Q20" s="45" t="s">
        <v>213</v>
      </c>
      <c r="R20" s="46">
        <f>+R19+R18</f>
        <v>197.41001889999998</v>
      </c>
    </row>
    <row r="21" spans="2:19" ht="15" customHeight="1">
      <c r="B21" s="82">
        <v>15</v>
      </c>
      <c r="C21" s="43"/>
      <c r="D21" s="43">
        <f t="shared" si="0"/>
        <v>8785.5934960000013</v>
      </c>
      <c r="E21" s="43"/>
      <c r="F21" s="43"/>
      <c r="G21" s="44">
        <v>0.45</v>
      </c>
      <c r="H21" s="43"/>
      <c r="I21" s="43"/>
      <c r="Q21" s="76" t="s">
        <v>4</v>
      </c>
      <c r="R21" s="51">
        <f>$L$7</f>
        <v>3360.76</v>
      </c>
    </row>
    <row r="22" spans="2:19" ht="15" customHeight="1">
      <c r="B22" s="52"/>
      <c r="C22" s="52"/>
      <c r="D22" s="52"/>
      <c r="E22" s="52"/>
      <c r="F22" s="52"/>
      <c r="G22" s="52"/>
      <c r="N22" s="84" t="s">
        <v>211</v>
      </c>
      <c r="O22" s="85">
        <f>FLOOR(MIN(O20,L17),0.01)</f>
        <v>0</v>
      </c>
      <c r="Q22" s="76" t="s">
        <v>77</v>
      </c>
      <c r="R22" s="51">
        <f>SUM($L$12:$L$15)</f>
        <v>-448.29210900000004</v>
      </c>
    </row>
    <row r="23" spans="2:19" ht="15" customHeight="1">
      <c r="Q23" s="76" t="s">
        <v>212</v>
      </c>
      <c r="R23" s="51">
        <f>-R20</f>
        <v>-197.41001889999998</v>
      </c>
    </row>
    <row r="24" spans="2:19" ht="15" customHeight="1">
      <c r="Q24" s="76" t="s">
        <v>202</v>
      </c>
      <c r="R24" s="51">
        <f>-$L$3</f>
        <v>-3360.76</v>
      </c>
    </row>
    <row r="25" spans="2:19" ht="15" customHeight="1">
      <c r="F25" s="52"/>
      <c r="Q25" s="76" t="s">
        <v>214</v>
      </c>
      <c r="R25" s="88">
        <f>'Temporary Staff'!$AH$38</f>
        <v>0.06</v>
      </c>
    </row>
    <row r="26" spans="2:19" ht="15" customHeight="1">
      <c r="Q26" s="86" t="s">
        <v>215</v>
      </c>
      <c r="R26" s="87">
        <f>FLOOR(MAX(SUM(R21:R24)*R25,0),0.01)</f>
        <v>0</v>
      </c>
    </row>
    <row r="30" spans="2:19" ht="15" customHeight="1">
      <c r="B30" s="32"/>
      <c r="C30" s="33"/>
      <c r="S30" s="73"/>
    </row>
    <row r="32" spans="2:19" ht="15" customHeight="1">
      <c r="D32" s="49"/>
      <c r="G32" s="51"/>
    </row>
  </sheetData>
  <sheetProtection algorithmName="SHA-512" hashValue="dK8KNQi7dDKyLh3DisjJ2q1pXbFeCJ501QUBrI8g8wU/8pFHY22L7walaiKUa5ZeqF40UqaY9810mHjd80rrUQ==" saltValue="oLjjbBeP+CAoRm2WIaNaxA==" spinCount="100000" sheet="1" objects="1" scenarios="1" selectLockedCells="1"/>
  <mergeCells count="2">
    <mergeCell ref="Q6:R6"/>
    <mergeCell ref="N6:O6"/>
  </mergeCells>
  <pageMargins left="0.7" right="0.7" top="0.75" bottom="0.75" header="0.3" footer="0.3"/>
  <pageSetup paperSize="9" orientation="portrait"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17BFF-F0E6-4FED-8D55-6005B4B489A2}">
  <sheetPr>
    <tabColor rgb="FFFFC000"/>
    <pageSetUpPr fitToPage="1"/>
  </sheetPr>
  <dimension ref="A1:AW54"/>
  <sheetViews>
    <sheetView showGridLines="0" topLeftCell="B2" zoomScaleNormal="100" workbookViewId="0">
      <selection activeCell="B2" sqref="B2"/>
    </sheetView>
  </sheetViews>
  <sheetFormatPr defaultColWidth="0" defaultRowHeight="12.75" customHeight="1" zeroHeight="1"/>
  <cols>
    <col min="1" max="1" width="1.7109375" hidden="1" customWidth="1"/>
    <col min="2" max="3" width="1.7109375" customWidth="1"/>
    <col min="4" max="19" width="6.7109375" customWidth="1"/>
    <col min="20" max="23" width="1.7109375" customWidth="1"/>
    <col min="24" max="39" width="6.7109375" customWidth="1"/>
    <col min="40" max="41" width="1.7109375" customWidth="1"/>
    <col min="42" max="42" width="3.7109375" hidden="1" customWidth="1"/>
    <col min="43" max="43" width="7.85546875" hidden="1" customWidth="1"/>
    <col min="44" max="44" width="6.7109375" hidden="1" customWidth="1"/>
    <col min="45" max="45" width="15" hidden="1" customWidth="1"/>
    <col min="46" max="46" width="5.7109375" hidden="1" customWidth="1"/>
    <col min="47" max="47" width="7.85546875" hidden="1" customWidth="1"/>
    <col min="48" max="48" width="7.5703125" hidden="1" customWidth="1"/>
    <col min="49" max="49" width="8.140625" hidden="1" customWidth="1"/>
    <col min="50" max="16384" width="5.7109375" hidden="1"/>
  </cols>
  <sheetData>
    <row r="1" spans="1:49" ht="6" hidden="1" customHeight="1">
      <c r="A1" s="189"/>
      <c r="B1" s="190"/>
      <c r="C1" s="190"/>
      <c r="D1" s="190"/>
      <c r="E1" s="190"/>
      <c r="F1" s="190"/>
      <c r="G1" s="190"/>
      <c r="H1" s="190"/>
      <c r="I1" s="190"/>
      <c r="J1" s="190"/>
      <c r="K1" s="190"/>
      <c r="L1" s="190"/>
      <c r="M1" s="190"/>
      <c r="N1" s="190"/>
      <c r="O1" s="190"/>
      <c r="P1" s="190"/>
      <c r="Q1" s="190"/>
      <c r="R1" s="190"/>
      <c r="S1" s="190"/>
      <c r="T1" s="190"/>
      <c r="U1" s="190"/>
      <c r="V1" s="191"/>
      <c r="W1" s="191"/>
      <c r="X1" s="192"/>
      <c r="Y1" s="192"/>
      <c r="Z1" s="193"/>
    </row>
    <row r="2" spans="1:49" ht="6" customHeight="1">
      <c r="A2" s="191"/>
      <c r="B2" s="194"/>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c r="AN2" s="195"/>
      <c r="AO2" s="196"/>
    </row>
    <row r="3" spans="1:49" ht="6" customHeight="1">
      <c r="A3" s="198"/>
      <c r="B3" s="199"/>
      <c r="C3" s="335"/>
      <c r="D3" s="335"/>
      <c r="E3" s="336"/>
      <c r="F3" s="336"/>
      <c r="G3" s="336"/>
      <c r="H3" s="336"/>
      <c r="I3" s="336"/>
      <c r="J3" s="334"/>
      <c r="K3" s="334"/>
      <c r="L3" s="334"/>
      <c r="M3" s="334"/>
      <c r="N3" s="334"/>
      <c r="O3" s="334"/>
      <c r="P3" s="336"/>
      <c r="Q3" s="403" t="s">
        <v>242</v>
      </c>
      <c r="R3" s="403"/>
      <c r="S3" s="403"/>
      <c r="T3" s="403"/>
      <c r="U3" s="403"/>
      <c r="V3" s="403"/>
      <c r="W3" s="403"/>
      <c r="X3" s="403"/>
      <c r="Y3" s="403"/>
      <c r="Z3" s="336"/>
      <c r="AA3" s="336"/>
      <c r="AB3" s="336"/>
      <c r="AC3" s="336"/>
      <c r="AD3" s="334"/>
      <c r="AE3" s="334"/>
      <c r="AF3" s="334"/>
      <c r="AG3" s="334"/>
      <c r="AH3" s="334"/>
      <c r="AI3" s="334"/>
      <c r="AJ3" s="336"/>
      <c r="AK3" s="336"/>
      <c r="AL3" s="336"/>
      <c r="AM3" s="337"/>
      <c r="AN3" s="337"/>
      <c r="AO3" s="200"/>
    </row>
    <row r="4" spans="1:49" ht="12" customHeight="1">
      <c r="A4" s="198"/>
      <c r="B4" s="199"/>
      <c r="C4" s="335"/>
      <c r="D4" s="335"/>
      <c r="E4" s="336"/>
      <c r="F4" s="336"/>
      <c r="G4" s="336"/>
      <c r="H4" s="336"/>
      <c r="I4" s="336"/>
      <c r="J4" s="334"/>
      <c r="K4" s="334"/>
      <c r="L4" s="334"/>
      <c r="M4" s="334"/>
      <c r="N4" s="334"/>
      <c r="O4" s="334"/>
      <c r="P4" s="336"/>
      <c r="Q4" s="403"/>
      <c r="R4" s="403"/>
      <c r="S4" s="403"/>
      <c r="T4" s="403"/>
      <c r="U4" s="403"/>
      <c r="V4" s="403"/>
      <c r="W4" s="403"/>
      <c r="X4" s="403"/>
      <c r="Y4" s="403"/>
      <c r="Z4" s="405" t="s">
        <v>195</v>
      </c>
      <c r="AA4" s="405"/>
      <c r="AB4" s="405"/>
      <c r="AC4" s="405"/>
      <c r="AD4" s="334"/>
      <c r="AE4" s="334"/>
      <c r="AF4" s="334"/>
      <c r="AG4" s="334"/>
      <c r="AH4" s="334"/>
      <c r="AI4" s="334"/>
      <c r="AJ4" s="336"/>
      <c r="AK4" s="336"/>
      <c r="AL4" s="336"/>
      <c r="AM4" s="337"/>
      <c r="AN4" s="337"/>
      <c r="AO4" s="200"/>
    </row>
    <row r="5" spans="1:49" ht="12" customHeight="1">
      <c r="A5" s="198"/>
      <c r="B5" s="199"/>
      <c r="C5" s="335"/>
      <c r="D5" s="335"/>
      <c r="E5" s="338"/>
      <c r="F5" s="338"/>
      <c r="G5" s="338"/>
      <c r="H5" s="338"/>
      <c r="I5" s="338"/>
      <c r="J5" s="334"/>
      <c r="K5" s="334"/>
      <c r="L5" s="334"/>
      <c r="M5" s="334"/>
      <c r="N5" s="334"/>
      <c r="O5" s="334"/>
      <c r="P5" s="339"/>
      <c r="Q5" s="403"/>
      <c r="R5" s="403"/>
      <c r="S5" s="403"/>
      <c r="T5" s="403"/>
      <c r="U5" s="403"/>
      <c r="V5" s="403"/>
      <c r="W5" s="403"/>
      <c r="X5" s="403"/>
      <c r="Y5" s="403"/>
      <c r="Z5" s="405"/>
      <c r="AA5" s="405"/>
      <c r="AB5" s="405"/>
      <c r="AC5" s="405"/>
      <c r="AD5" s="334"/>
      <c r="AE5" s="334"/>
      <c r="AF5" s="334"/>
      <c r="AG5" s="334"/>
      <c r="AH5" s="334"/>
      <c r="AI5" s="334"/>
      <c r="AJ5" s="339"/>
      <c r="AK5" s="340"/>
      <c r="AL5" s="340"/>
      <c r="AM5" s="340"/>
      <c r="AN5" s="340"/>
      <c r="AO5" s="200"/>
    </row>
    <row r="6" spans="1:49" ht="6" customHeight="1">
      <c r="A6" s="198"/>
      <c r="B6" s="199"/>
      <c r="C6" s="341"/>
      <c r="D6" s="341"/>
      <c r="E6" s="342"/>
      <c r="F6" s="342"/>
      <c r="G6" s="342"/>
      <c r="H6" s="342"/>
      <c r="I6" s="342"/>
      <c r="J6" s="342"/>
      <c r="K6" s="342"/>
      <c r="L6" s="342"/>
      <c r="M6" s="342"/>
      <c r="N6" s="343"/>
      <c r="O6" s="343"/>
      <c r="P6" s="343"/>
      <c r="Q6" s="404"/>
      <c r="R6" s="404"/>
      <c r="S6" s="404"/>
      <c r="T6" s="404"/>
      <c r="U6" s="404"/>
      <c r="V6" s="404"/>
      <c r="W6" s="404"/>
      <c r="X6" s="404"/>
      <c r="Y6" s="404"/>
      <c r="Z6" s="366"/>
      <c r="AA6" s="342"/>
      <c r="AB6" s="342"/>
      <c r="AC6" s="342"/>
      <c r="AD6" s="342"/>
      <c r="AE6" s="342"/>
      <c r="AF6" s="342"/>
      <c r="AG6" s="342"/>
      <c r="AH6" s="343"/>
      <c r="AI6" s="343"/>
      <c r="AJ6" s="343"/>
      <c r="AK6" s="343"/>
      <c r="AL6" s="343"/>
      <c r="AM6" s="343"/>
      <c r="AN6" s="343"/>
      <c r="AO6" s="200"/>
    </row>
    <row r="7" spans="1:49" ht="6" customHeight="1">
      <c r="A7" s="198"/>
      <c r="B7" s="199"/>
      <c r="C7" s="201"/>
      <c r="D7" s="201"/>
      <c r="E7" s="202"/>
      <c r="F7" s="203"/>
      <c r="G7" s="201"/>
      <c r="H7" s="203"/>
      <c r="I7" s="203"/>
      <c r="J7" s="203"/>
      <c r="K7" s="203"/>
      <c r="L7" s="201"/>
      <c r="M7" s="203"/>
      <c r="N7" s="201"/>
      <c r="O7" s="203"/>
      <c r="P7" s="201"/>
      <c r="Q7" s="203"/>
      <c r="R7" s="203"/>
      <c r="S7" s="203"/>
      <c r="T7" s="203"/>
      <c r="U7" s="200"/>
      <c r="V7" s="199"/>
      <c r="W7" s="201"/>
      <c r="X7" s="201"/>
      <c r="Y7" s="202"/>
      <c r="Z7" s="203"/>
      <c r="AA7" s="201"/>
      <c r="AB7" s="203"/>
      <c r="AC7" s="203"/>
      <c r="AD7" s="203"/>
      <c r="AE7" s="203"/>
      <c r="AF7" s="201"/>
      <c r="AG7" s="203"/>
      <c r="AH7" s="201"/>
      <c r="AI7" s="203"/>
      <c r="AJ7" s="201"/>
      <c r="AK7" s="203"/>
      <c r="AL7" s="203"/>
      <c r="AM7" s="203"/>
      <c r="AN7" s="203"/>
      <c r="AO7" s="200"/>
      <c r="AU7" s="205"/>
      <c r="AV7" s="205"/>
      <c r="AW7" s="205"/>
    </row>
    <row r="8" spans="1:49" ht="12" customHeight="1">
      <c r="A8" s="198"/>
      <c r="B8" s="206"/>
      <c r="C8" s="207"/>
      <c r="D8" s="208" t="s">
        <v>334</v>
      </c>
      <c r="E8" s="209"/>
      <c r="F8" s="189"/>
      <c r="G8" s="189"/>
      <c r="H8" s="183"/>
      <c r="I8" s="183"/>
      <c r="J8" s="183"/>
      <c r="K8" s="183"/>
      <c r="L8" s="183"/>
      <c r="M8" s="183"/>
      <c r="N8" s="183"/>
      <c r="O8" s="183"/>
      <c r="P8" s="357" t="s">
        <v>245</v>
      </c>
      <c r="Q8" s="183"/>
      <c r="R8" s="183"/>
      <c r="S8" s="183"/>
      <c r="T8" s="183"/>
      <c r="U8" s="210"/>
      <c r="V8" s="206"/>
      <c r="W8" s="275"/>
      <c r="X8" s="241" t="s">
        <v>338</v>
      </c>
      <c r="Y8" s="242"/>
      <c r="Z8" s="242"/>
      <c r="AA8" s="242"/>
      <c r="AB8" s="242"/>
      <c r="AC8" s="243"/>
      <c r="AD8" s="276"/>
      <c r="AE8" s="276"/>
      <c r="AF8" s="276"/>
      <c r="AG8" s="276"/>
      <c r="AH8" s="276"/>
      <c r="AI8" s="276"/>
      <c r="AJ8" s="276"/>
      <c r="AK8" s="276"/>
      <c r="AL8" s="277"/>
      <c r="AM8" s="277"/>
      <c r="AN8" s="278"/>
      <c r="AO8" s="210"/>
      <c r="AQ8" s="204" t="s">
        <v>193</v>
      </c>
      <c r="AR8" s="204" t="s">
        <v>189</v>
      </c>
      <c r="AS8" s="205"/>
      <c r="AU8" s="204" t="s">
        <v>193</v>
      </c>
      <c r="AV8" s="204" t="s">
        <v>189</v>
      </c>
      <c r="AW8" s="205"/>
    </row>
    <row r="9" spans="1:49" ht="6" customHeight="1">
      <c r="A9" s="198"/>
      <c r="B9" s="206"/>
      <c r="C9" s="211"/>
      <c r="D9" s="212"/>
      <c r="E9" s="212"/>
      <c r="F9" s="212"/>
      <c r="G9" s="212"/>
      <c r="H9" s="212"/>
      <c r="I9" s="212"/>
      <c r="J9" s="212"/>
      <c r="K9" s="212"/>
      <c r="L9" s="212"/>
      <c r="M9" s="212"/>
      <c r="N9" s="212"/>
      <c r="O9" s="212"/>
      <c r="P9" s="212"/>
      <c r="Q9" s="212"/>
      <c r="R9" s="212"/>
      <c r="S9" s="212"/>
      <c r="T9" s="213"/>
      <c r="U9" s="210"/>
      <c r="V9" s="206"/>
      <c r="W9" s="211"/>
      <c r="X9" s="212"/>
      <c r="Y9" s="212"/>
      <c r="Z9" s="212"/>
      <c r="AA9" s="212"/>
      <c r="AB9" s="212"/>
      <c r="AC9" s="212"/>
      <c r="AD9" s="212"/>
      <c r="AE9" s="212"/>
      <c r="AF9" s="212"/>
      <c r="AG9" s="212"/>
      <c r="AH9" s="212"/>
      <c r="AI9" s="212"/>
      <c r="AJ9" s="212"/>
      <c r="AK9" s="212"/>
      <c r="AL9" s="212"/>
      <c r="AM9" s="212"/>
      <c r="AN9" s="213"/>
      <c r="AO9" s="210"/>
      <c r="AQ9" s="214"/>
      <c r="AR9" s="214"/>
      <c r="AS9" s="205"/>
      <c r="AU9" s="205"/>
      <c r="AV9" s="205"/>
      <c r="AW9" s="205"/>
    </row>
    <row r="10" spans="1:49" ht="12" customHeight="1">
      <c r="A10" s="198"/>
      <c r="B10" s="206"/>
      <c r="C10" s="215"/>
      <c r="D10" s="216" t="s">
        <v>343</v>
      </c>
      <c r="E10" s="216"/>
      <c r="F10" s="217"/>
      <c r="G10" s="217"/>
      <c r="H10" s="217"/>
      <c r="I10" s="221" t="s">
        <v>348</v>
      </c>
      <c r="J10" s="219"/>
      <c r="K10" s="219"/>
      <c r="L10" s="219"/>
      <c r="M10" s="219"/>
      <c r="N10" s="219"/>
      <c r="O10" s="219"/>
      <c r="P10" s="219"/>
      <c r="Q10" s="219"/>
      <c r="R10" s="217"/>
      <c r="S10" s="217"/>
      <c r="T10" s="220"/>
      <c r="U10" s="210"/>
      <c r="V10" s="206"/>
      <c r="W10" s="215"/>
      <c r="X10" s="382" t="s">
        <v>328</v>
      </c>
      <c r="Y10" s="382"/>
      <c r="Z10" s="382"/>
      <c r="AA10" s="382"/>
      <c r="AB10" s="382"/>
      <c r="AC10" s="382"/>
      <c r="AD10" s="382"/>
      <c r="AE10" s="382"/>
      <c r="AF10" s="382"/>
      <c r="AG10" s="382"/>
      <c r="AH10" s="382"/>
      <c r="AI10" s="382"/>
      <c r="AJ10" s="382"/>
      <c r="AK10" s="283"/>
      <c r="AL10" s="286"/>
      <c r="AM10" s="286"/>
      <c r="AN10" s="284"/>
      <c r="AO10" s="210"/>
      <c r="AQ10" s="182">
        <v>18</v>
      </c>
      <c r="AR10" s="204" t="str">
        <f>VLOOKUP(AQ10,CA_SalaryGrade_Order,3,FALSE)</f>
        <v>FGI-1</v>
      </c>
      <c r="AS10" s="204">
        <f>VLOOKUP(AQ10,CA_SalaryGrade_Order,2,FALSE)</f>
        <v>18</v>
      </c>
      <c r="AU10" s="182">
        <v>4</v>
      </c>
      <c r="AV10" s="204">
        <v>1</v>
      </c>
      <c r="AW10" s="204">
        <v>0.16</v>
      </c>
    </row>
    <row r="11" spans="1:49" ht="12" customHeight="1">
      <c r="A11" s="198"/>
      <c r="B11" s="206"/>
      <c r="C11" s="215"/>
      <c r="D11" s="216" t="s">
        <v>344</v>
      </c>
      <c r="E11" s="216"/>
      <c r="F11" s="217"/>
      <c r="G11" s="217"/>
      <c r="H11" s="217"/>
      <c r="I11" s="221"/>
      <c r="J11" s="222" t="s">
        <v>350</v>
      </c>
      <c r="K11" s="216"/>
      <c r="L11" s="222"/>
      <c r="M11" s="223"/>
      <c r="N11" s="222"/>
      <c r="O11" s="223"/>
      <c r="P11" s="224"/>
      <c r="Q11" s="225"/>
      <c r="R11" s="372" cm="1">
        <f t="array" ref="R11">INDEX(T_CA_Salaries[],AS10,AR11+3)</f>
        <v>2339.6799999999998</v>
      </c>
      <c r="S11" s="372"/>
      <c r="T11" s="226"/>
      <c r="U11" s="227"/>
      <c r="V11" s="206"/>
      <c r="W11" s="215"/>
      <c r="X11" s="382"/>
      <c r="Y11" s="382"/>
      <c r="Z11" s="382"/>
      <c r="AA11" s="382"/>
      <c r="AB11" s="382"/>
      <c r="AC11" s="382"/>
      <c r="AD11" s="382"/>
      <c r="AE11" s="382"/>
      <c r="AF11" s="382"/>
      <c r="AG11" s="382"/>
      <c r="AH11" s="382"/>
      <c r="AI11" s="382"/>
      <c r="AJ11" s="382"/>
      <c r="AK11" s="283"/>
      <c r="AL11" s="333"/>
      <c r="AM11" s="333"/>
      <c r="AN11" s="287"/>
      <c r="AO11" s="227"/>
      <c r="AQ11" s="182">
        <v>1</v>
      </c>
      <c r="AR11" s="204">
        <f>VLOOKUP(AQ11,CA_Steps_Order,2,FALSE)</f>
        <v>1</v>
      </c>
      <c r="AS11" s="228"/>
      <c r="AU11" s="214"/>
      <c r="AV11" s="204">
        <v>2</v>
      </c>
      <c r="AW11" s="204">
        <v>0.04</v>
      </c>
    </row>
    <row r="12" spans="1:49" ht="12" customHeight="1">
      <c r="A12" s="198"/>
      <c r="B12" s="206"/>
      <c r="C12" s="229"/>
      <c r="D12" s="230"/>
      <c r="E12" s="230"/>
      <c r="F12" s="231"/>
      <c r="G12" s="231"/>
      <c r="H12" s="231"/>
      <c r="I12" s="367" t="s">
        <v>349</v>
      </c>
      <c r="J12" s="231"/>
      <c r="K12" s="232"/>
      <c r="L12" s="232"/>
      <c r="M12" s="232"/>
      <c r="N12" s="232"/>
      <c r="O12" s="232"/>
      <c r="P12" s="232"/>
      <c r="Q12" s="233"/>
      <c r="R12" s="234"/>
      <c r="S12" s="234"/>
      <c r="T12" s="235"/>
      <c r="U12" s="227"/>
      <c r="V12" s="206"/>
      <c r="W12" s="215"/>
      <c r="X12" s="383"/>
      <c r="Y12" s="383"/>
      <c r="Z12" s="383"/>
      <c r="AA12" s="383"/>
      <c r="AB12" s="383"/>
      <c r="AC12" s="383"/>
      <c r="AD12" s="383"/>
      <c r="AE12" s="383"/>
      <c r="AF12" s="383"/>
      <c r="AG12" s="383"/>
      <c r="AH12" s="383"/>
      <c r="AI12" s="383"/>
      <c r="AJ12" s="383"/>
      <c r="AK12" s="345"/>
      <c r="AL12" s="346"/>
      <c r="AM12" s="346"/>
      <c r="AN12" s="287"/>
      <c r="AO12" s="227"/>
      <c r="AQ12" s="214"/>
      <c r="AR12" s="214"/>
      <c r="AS12" s="205"/>
      <c r="AU12" s="214"/>
      <c r="AV12" s="204">
        <v>3</v>
      </c>
      <c r="AW12" s="204">
        <v>0.16</v>
      </c>
    </row>
    <row r="13" spans="1:49" ht="12" customHeight="1">
      <c r="A13" s="198"/>
      <c r="B13" s="206"/>
      <c r="C13" s="183"/>
      <c r="D13" s="236"/>
      <c r="E13" s="236"/>
      <c r="F13" s="183"/>
      <c r="G13" s="183"/>
      <c r="H13" s="183"/>
      <c r="I13" s="183"/>
      <c r="J13" s="183"/>
      <c r="K13" s="237"/>
      <c r="L13" s="237"/>
      <c r="M13" s="237"/>
      <c r="N13" s="237"/>
      <c r="O13" s="237"/>
      <c r="P13" s="237"/>
      <c r="Q13" s="238"/>
      <c r="R13" s="239"/>
      <c r="S13" s="239"/>
      <c r="T13" s="240"/>
      <c r="U13" s="227"/>
      <c r="V13" s="206"/>
      <c r="W13" s="215"/>
      <c r="X13" s="384" t="s">
        <v>329</v>
      </c>
      <c r="Y13" s="384"/>
      <c r="Z13" s="384"/>
      <c r="AA13" s="384"/>
      <c r="AB13" s="384"/>
      <c r="AC13" s="384"/>
      <c r="AD13" s="384"/>
      <c r="AE13" s="384"/>
      <c r="AF13" s="384"/>
      <c r="AG13" s="384"/>
      <c r="AH13" s="384"/>
      <c r="AI13" s="384"/>
      <c r="AJ13" s="384"/>
      <c r="AK13" s="283"/>
      <c r="AL13" s="333"/>
      <c r="AM13" s="333"/>
      <c r="AN13" s="287"/>
      <c r="AO13" s="227"/>
      <c r="AQ13" s="214"/>
      <c r="AR13" s="214"/>
      <c r="AS13" s="205"/>
      <c r="AU13" s="214"/>
      <c r="AV13" s="204">
        <v>4</v>
      </c>
      <c r="AW13" s="204">
        <v>0</v>
      </c>
    </row>
    <row r="14" spans="1:49" ht="12" customHeight="1">
      <c r="A14" s="198"/>
      <c r="B14" s="206"/>
      <c r="C14" s="207"/>
      <c r="D14" s="241" t="s">
        <v>335</v>
      </c>
      <c r="E14" s="242"/>
      <c r="F14" s="243"/>
      <c r="G14" s="183"/>
      <c r="H14" s="183"/>
      <c r="I14" s="183"/>
      <c r="J14" s="183"/>
      <c r="K14" s="183"/>
      <c r="L14" s="183"/>
      <c r="M14" s="183"/>
      <c r="N14" s="276"/>
      <c r="O14" s="276"/>
      <c r="P14" s="276"/>
      <c r="Q14" s="183"/>
      <c r="R14" s="244"/>
      <c r="S14" s="244"/>
      <c r="T14" s="244"/>
      <c r="U14" s="245"/>
      <c r="V14" s="206"/>
      <c r="W14" s="260"/>
      <c r="X14" s="382"/>
      <c r="Y14" s="382"/>
      <c r="Z14" s="382"/>
      <c r="AA14" s="382"/>
      <c r="AB14" s="382"/>
      <c r="AC14" s="382"/>
      <c r="AD14" s="382"/>
      <c r="AE14" s="382"/>
      <c r="AF14" s="382"/>
      <c r="AG14" s="382"/>
      <c r="AH14" s="382"/>
      <c r="AI14" s="382"/>
      <c r="AJ14" s="382"/>
      <c r="AK14" s="283"/>
      <c r="AL14" s="333"/>
      <c r="AM14" s="333"/>
      <c r="AN14" s="287"/>
      <c r="AO14" s="245"/>
      <c r="AQ14" s="204" t="s">
        <v>193</v>
      </c>
      <c r="AR14" s="204" t="s">
        <v>189</v>
      </c>
      <c r="AS14" s="246"/>
      <c r="AU14" s="205"/>
      <c r="AV14" s="205"/>
      <c r="AW14" s="205"/>
    </row>
    <row r="15" spans="1:49" ht="12" customHeight="1">
      <c r="A15" s="198"/>
      <c r="B15" s="206"/>
      <c r="C15" s="211"/>
      <c r="D15" s="212"/>
      <c r="E15" s="212"/>
      <c r="F15" s="212"/>
      <c r="G15" s="212"/>
      <c r="H15" s="212"/>
      <c r="I15" s="212"/>
      <c r="J15" s="212"/>
      <c r="K15" s="212"/>
      <c r="L15" s="212"/>
      <c r="M15" s="212"/>
      <c r="N15" s="212"/>
      <c r="O15" s="223" t="str">
        <f>+IF($AR$29&gt;$AR$16,"Check the number of children","")</f>
        <v/>
      </c>
      <c r="P15" s="212"/>
      <c r="Q15" s="212"/>
      <c r="R15" s="247"/>
      <c r="S15" s="247"/>
      <c r="T15" s="248"/>
      <c r="U15" s="245"/>
      <c r="V15" s="206"/>
      <c r="W15" s="215"/>
      <c r="X15" s="383"/>
      <c r="Y15" s="383"/>
      <c r="Z15" s="383"/>
      <c r="AA15" s="383"/>
      <c r="AB15" s="383"/>
      <c r="AC15" s="383"/>
      <c r="AD15" s="383"/>
      <c r="AE15" s="383"/>
      <c r="AF15" s="383"/>
      <c r="AG15" s="383"/>
      <c r="AH15" s="383"/>
      <c r="AI15" s="383"/>
      <c r="AJ15" s="383"/>
      <c r="AK15" s="254"/>
      <c r="AL15" s="346"/>
      <c r="AM15" s="346"/>
      <c r="AN15" s="287"/>
      <c r="AO15" s="245"/>
      <c r="AQ15" s="214"/>
      <c r="AR15" s="214"/>
      <c r="AS15" s="205"/>
      <c r="AU15" s="205"/>
      <c r="AV15" s="205"/>
      <c r="AW15" s="205"/>
    </row>
    <row r="16" spans="1:49" ht="12" customHeight="1">
      <c r="A16" s="198"/>
      <c r="B16" s="206"/>
      <c r="C16" s="215"/>
      <c r="D16" s="216" t="s">
        <v>287</v>
      </c>
      <c r="E16" s="216"/>
      <c r="F16" s="217"/>
      <c r="G16" s="217"/>
      <c r="H16" s="217"/>
      <c r="I16" s="217"/>
      <c r="J16" s="217"/>
      <c r="K16" s="217"/>
      <c r="L16" s="217"/>
      <c r="M16" s="217"/>
      <c r="N16" s="217"/>
      <c r="O16" s="223" t="str">
        <f>+IF(OR(AND($AR$27&gt;0,$AU$10=2),AND($AR$27&gt;0,$AU$10=4)),"Check the expat allowance (16%)","")</f>
        <v/>
      </c>
      <c r="P16" s="223"/>
      <c r="Q16" s="223"/>
      <c r="R16" s="223"/>
      <c r="S16" s="223"/>
      <c r="T16" s="249"/>
      <c r="U16" s="245"/>
      <c r="V16" s="206"/>
      <c r="W16" s="215"/>
      <c r="X16" s="382" t="s">
        <v>330</v>
      </c>
      <c r="Y16" s="382"/>
      <c r="Z16" s="382"/>
      <c r="AA16" s="382"/>
      <c r="AB16" s="382"/>
      <c r="AC16" s="382"/>
      <c r="AD16" s="382"/>
      <c r="AE16" s="382"/>
      <c r="AF16" s="382"/>
      <c r="AG16" s="382"/>
      <c r="AH16" s="382"/>
      <c r="AI16" s="382"/>
      <c r="AJ16" s="382"/>
      <c r="AK16" s="223"/>
      <c r="AL16" s="223"/>
      <c r="AM16" s="223"/>
      <c r="AN16" s="287"/>
      <c r="AO16" s="245"/>
      <c r="AQ16" s="182">
        <v>1</v>
      </c>
      <c r="AR16" s="204">
        <f>VLOOKUP(AQ16,DependChild_Order,2,FALSE)</f>
        <v>0</v>
      </c>
      <c r="AS16" s="204" t="s">
        <v>217</v>
      </c>
      <c r="AU16" s="205"/>
      <c r="AV16" s="205"/>
      <c r="AW16" s="205"/>
    </row>
    <row r="17" spans="1:49" ht="12" customHeight="1">
      <c r="A17" s="198"/>
      <c r="B17" s="206"/>
      <c r="C17" s="215"/>
      <c r="D17" s="216" t="s">
        <v>286</v>
      </c>
      <c r="E17" s="216"/>
      <c r="F17" s="217"/>
      <c r="G17" s="216"/>
      <c r="H17" s="216"/>
      <c r="I17" s="216"/>
      <c r="J17" s="216"/>
      <c r="K17" s="217"/>
      <c r="L17" s="217"/>
      <c r="M17" s="217"/>
      <c r="N17" s="217"/>
      <c r="O17" s="223"/>
      <c r="P17" s="217"/>
      <c r="Q17" s="217"/>
      <c r="R17" s="250"/>
      <c r="S17" s="250"/>
      <c r="T17" s="249"/>
      <c r="U17" s="245"/>
      <c r="V17" s="206"/>
      <c r="W17" s="215"/>
      <c r="X17" s="382"/>
      <c r="Y17" s="382"/>
      <c r="Z17" s="382"/>
      <c r="AA17" s="382"/>
      <c r="AB17" s="382"/>
      <c r="AC17" s="382"/>
      <c r="AD17" s="382"/>
      <c r="AE17" s="382"/>
      <c r="AF17" s="382"/>
      <c r="AG17" s="382"/>
      <c r="AH17" s="382"/>
      <c r="AI17" s="382"/>
      <c r="AJ17" s="382"/>
      <c r="AK17" s="217"/>
      <c r="AL17" s="250"/>
      <c r="AM17" s="250"/>
      <c r="AN17" s="287"/>
      <c r="AO17" s="245"/>
      <c r="AQ17" s="251"/>
      <c r="AR17" s="251"/>
      <c r="AS17" s="251"/>
      <c r="AU17" s="205"/>
      <c r="AV17" s="205"/>
      <c r="AW17" s="205"/>
    </row>
    <row r="18" spans="1:49" ht="12" customHeight="1">
      <c r="A18" s="198"/>
      <c r="B18" s="206"/>
      <c r="C18" s="215"/>
      <c r="D18" s="252" t="s">
        <v>353</v>
      </c>
      <c r="E18" s="253"/>
      <c r="F18" s="254"/>
      <c r="G18" s="254"/>
      <c r="H18" s="254"/>
      <c r="I18" s="254"/>
      <c r="J18" s="254"/>
      <c r="K18" s="254"/>
      <c r="L18" s="254"/>
      <c r="M18" s="254"/>
      <c r="N18" s="255"/>
      <c r="O18" s="253"/>
      <c r="P18" s="254"/>
      <c r="Q18" s="254"/>
      <c r="R18" s="387">
        <f>IF($AR$16&gt;0,'Salary and Allowances'!$X$9*AR18,0)</f>
        <v>0</v>
      </c>
      <c r="S18" s="387"/>
      <c r="T18" s="249"/>
      <c r="U18" s="245"/>
      <c r="V18" s="206"/>
      <c r="W18" s="215"/>
      <c r="X18" s="383"/>
      <c r="Y18" s="383"/>
      <c r="Z18" s="383"/>
      <c r="AA18" s="383"/>
      <c r="AB18" s="383"/>
      <c r="AC18" s="383"/>
      <c r="AD18" s="383"/>
      <c r="AE18" s="383"/>
      <c r="AF18" s="383"/>
      <c r="AG18" s="383"/>
      <c r="AH18" s="383"/>
      <c r="AI18" s="383"/>
      <c r="AJ18" s="383"/>
      <c r="AK18" s="254"/>
      <c r="AL18" s="387"/>
      <c r="AM18" s="387"/>
      <c r="AN18" s="249"/>
      <c r="AO18" s="245"/>
      <c r="AQ18" s="182">
        <v>1</v>
      </c>
      <c r="AR18" s="204">
        <f>VLOOKUP(AQ18,DependChild_Order,2,FALSE)</f>
        <v>0</v>
      </c>
      <c r="AS18" s="204" t="s">
        <v>188</v>
      </c>
      <c r="AU18" s="205"/>
      <c r="AV18" s="205"/>
      <c r="AW18" s="205"/>
    </row>
    <row r="19" spans="1:49" ht="12" customHeight="1">
      <c r="A19" s="256"/>
      <c r="B19" s="206"/>
      <c r="C19" s="215"/>
      <c r="D19" s="397" t="s">
        <v>345</v>
      </c>
      <c r="E19" s="397"/>
      <c r="F19" s="397"/>
      <c r="G19" s="397"/>
      <c r="H19" s="397"/>
      <c r="I19" s="397"/>
      <c r="J19" s="397"/>
      <c r="K19" s="397"/>
      <c r="L19" s="397"/>
      <c r="M19" s="397"/>
      <c r="N19" s="397"/>
      <c r="O19" s="397"/>
      <c r="P19" s="257"/>
      <c r="Q19" s="258"/>
      <c r="R19" s="380">
        <f>IF($AR$16&gt;0,'Salary and Allowances'!$X$8*AR19,0)</f>
        <v>0</v>
      </c>
      <c r="S19" s="380"/>
      <c r="T19" s="249"/>
      <c r="U19" s="245"/>
      <c r="V19" s="206"/>
      <c r="W19" s="215"/>
      <c r="X19" s="382" t="s">
        <v>331</v>
      </c>
      <c r="Y19" s="382"/>
      <c r="Z19" s="382"/>
      <c r="AA19" s="382"/>
      <c r="AB19" s="382"/>
      <c r="AC19" s="382"/>
      <c r="AD19" s="382"/>
      <c r="AE19" s="382"/>
      <c r="AF19" s="382"/>
      <c r="AG19" s="382"/>
      <c r="AH19" s="382"/>
      <c r="AI19" s="382"/>
      <c r="AJ19" s="382"/>
      <c r="AK19" s="344"/>
      <c r="AL19" s="389"/>
      <c r="AM19" s="389"/>
      <c r="AN19" s="249"/>
      <c r="AO19" s="245"/>
      <c r="AQ19" s="182">
        <v>1</v>
      </c>
      <c r="AR19" s="204">
        <f>VLOOKUP(AQ19,DependChild_Order,2,FALSE)</f>
        <v>0</v>
      </c>
      <c r="AS19" s="204" t="s">
        <v>288</v>
      </c>
      <c r="AU19" s="205"/>
      <c r="AV19" s="205"/>
      <c r="AW19" s="205"/>
    </row>
    <row r="20" spans="1:49" ht="12" customHeight="1">
      <c r="A20" s="256"/>
      <c r="B20" s="206"/>
      <c r="C20" s="215"/>
      <c r="D20" s="397"/>
      <c r="E20" s="397"/>
      <c r="F20" s="397"/>
      <c r="G20" s="397"/>
      <c r="H20" s="397"/>
      <c r="I20" s="397"/>
      <c r="J20" s="397"/>
      <c r="K20" s="397"/>
      <c r="L20" s="397"/>
      <c r="M20" s="397"/>
      <c r="N20" s="397"/>
      <c r="O20" s="397"/>
      <c r="P20" s="254"/>
      <c r="Q20" s="259"/>
      <c r="R20" s="381"/>
      <c r="S20" s="381"/>
      <c r="T20" s="249"/>
      <c r="U20" s="245"/>
      <c r="V20" s="206"/>
      <c r="W20" s="215"/>
      <c r="X20" s="383"/>
      <c r="Y20" s="383"/>
      <c r="Z20" s="383"/>
      <c r="AA20" s="383"/>
      <c r="AB20" s="383"/>
      <c r="AC20" s="383"/>
      <c r="AD20" s="383"/>
      <c r="AE20" s="383"/>
      <c r="AF20" s="383"/>
      <c r="AG20" s="383"/>
      <c r="AH20" s="383"/>
      <c r="AI20" s="383"/>
      <c r="AJ20" s="383"/>
      <c r="AK20" s="259"/>
      <c r="AL20" s="390"/>
      <c r="AM20" s="390"/>
      <c r="AN20" s="249"/>
      <c r="AO20" s="245"/>
      <c r="AQ20" s="182"/>
      <c r="AR20" s="204"/>
      <c r="AS20" s="204"/>
      <c r="AU20" s="205"/>
      <c r="AV20" s="205"/>
      <c r="AW20" s="205"/>
    </row>
    <row r="21" spans="1:49" ht="12" customHeight="1">
      <c r="A21" s="256"/>
      <c r="B21" s="206"/>
      <c r="C21" s="215"/>
      <c r="D21" s="397" t="s">
        <v>346</v>
      </c>
      <c r="E21" s="397"/>
      <c r="F21" s="397"/>
      <c r="G21" s="397"/>
      <c r="H21" s="397"/>
      <c r="I21" s="397"/>
      <c r="J21" s="397"/>
      <c r="K21" s="397"/>
      <c r="L21" s="397"/>
      <c r="M21" s="397"/>
      <c r="N21" s="397"/>
      <c r="O21" s="397"/>
      <c r="P21" s="257"/>
      <c r="Q21" s="257"/>
      <c r="R21" s="380">
        <f>IF($AR$16&gt;0,2*'Salary and Allowances'!$X$8*AR21,0)</f>
        <v>0</v>
      </c>
      <c r="S21" s="380"/>
      <c r="T21" s="249"/>
      <c r="U21" s="245"/>
      <c r="V21" s="206"/>
      <c r="W21" s="215"/>
      <c r="X21" s="391" t="s">
        <v>322</v>
      </c>
      <c r="Y21" s="391"/>
      <c r="Z21" s="391"/>
      <c r="AA21" s="391"/>
      <c r="AB21" s="391"/>
      <c r="AC21" s="391"/>
      <c r="AD21" s="391"/>
      <c r="AE21" s="391"/>
      <c r="AF21" s="391"/>
      <c r="AG21" s="391"/>
      <c r="AH21" s="391"/>
      <c r="AI21" s="391"/>
      <c r="AJ21" s="257"/>
      <c r="AK21" s="257"/>
      <c r="AL21" s="393">
        <f>IFERROR(IF($AK$22=0,0,IF($AK$22=0.16,MAX($AK$22*SUM($R$11,$R$40,$R$41),'Salary and Allowances'!$X$10),IF($AK$22=0.04,MAX($AK$22*SUM($R$11,$R$40,$R$41),1/4*'Salary and Allowances'!$X$10),0))),"ERROR")</f>
        <v>0</v>
      </c>
      <c r="AM21" s="393"/>
      <c r="AN21" s="249"/>
      <c r="AO21" s="245"/>
      <c r="AQ21" s="182">
        <v>1</v>
      </c>
      <c r="AR21" s="204">
        <f>VLOOKUP(AQ21,DependChild_Order,2,FALSE)</f>
        <v>0</v>
      </c>
      <c r="AS21" s="204" t="s">
        <v>289</v>
      </c>
      <c r="AU21" s="205"/>
      <c r="AV21" s="205"/>
      <c r="AW21" s="205"/>
    </row>
    <row r="22" spans="1:49" ht="12" customHeight="1">
      <c r="A22" s="256"/>
      <c r="B22" s="206"/>
      <c r="C22" s="215"/>
      <c r="D22" s="397"/>
      <c r="E22" s="397"/>
      <c r="F22" s="397"/>
      <c r="G22" s="397"/>
      <c r="H22" s="397"/>
      <c r="I22" s="397"/>
      <c r="J22" s="397"/>
      <c r="K22" s="397"/>
      <c r="L22" s="397"/>
      <c r="M22" s="397"/>
      <c r="N22" s="397"/>
      <c r="O22" s="397"/>
      <c r="P22" s="254"/>
      <c r="Q22" s="254"/>
      <c r="R22" s="381"/>
      <c r="S22" s="381"/>
      <c r="T22" s="249"/>
      <c r="U22" s="245"/>
      <c r="V22" s="206"/>
      <c r="W22" s="215"/>
      <c r="X22" s="392"/>
      <c r="Y22" s="392"/>
      <c r="Z22" s="392"/>
      <c r="AA22" s="392"/>
      <c r="AB22" s="392"/>
      <c r="AC22" s="392"/>
      <c r="AD22" s="392"/>
      <c r="AE22" s="392"/>
      <c r="AF22" s="392"/>
      <c r="AG22" s="392"/>
      <c r="AH22" s="392"/>
      <c r="AI22" s="392"/>
      <c r="AJ22" s="217"/>
      <c r="AK22" s="347">
        <f>VLOOKUP($AU$10,$AV$10:$AW$13,2,FALSE)</f>
        <v>0</v>
      </c>
      <c r="AL22" s="372"/>
      <c r="AM22" s="372"/>
      <c r="AN22" s="249"/>
      <c r="AO22" s="245"/>
      <c r="AQ22" s="182"/>
      <c r="AR22" s="204"/>
      <c r="AS22" s="204"/>
      <c r="AU22" s="205"/>
      <c r="AV22" s="205"/>
      <c r="AW22" s="205"/>
    </row>
    <row r="23" spans="1:49" ht="12" customHeight="1">
      <c r="A23" s="198"/>
      <c r="B23" s="206"/>
      <c r="C23" s="215"/>
      <c r="D23" s="397" t="s">
        <v>340</v>
      </c>
      <c r="E23" s="397"/>
      <c r="F23" s="397"/>
      <c r="G23" s="397"/>
      <c r="H23" s="397"/>
      <c r="I23" s="397"/>
      <c r="J23" s="397"/>
      <c r="K23" s="397"/>
      <c r="L23" s="397"/>
      <c r="M23" s="397"/>
      <c r="N23" s="397"/>
      <c r="O23" s="397"/>
      <c r="P23" s="257"/>
      <c r="Q23" s="257"/>
      <c r="R23" s="380">
        <f>IF($AR$16&gt;0,'Salary and Allowances'!$X$8*AR23,0)</f>
        <v>0</v>
      </c>
      <c r="S23" s="380"/>
      <c r="T23" s="249"/>
      <c r="U23" s="245"/>
      <c r="V23" s="206"/>
      <c r="W23" s="267"/>
      <c r="X23" s="268"/>
      <c r="Y23" s="231"/>
      <c r="Z23" s="231"/>
      <c r="AA23" s="231"/>
      <c r="AB23" s="231"/>
      <c r="AC23" s="231"/>
      <c r="AD23" s="231"/>
      <c r="AE23" s="231"/>
      <c r="AF23" s="231"/>
      <c r="AG23" s="231"/>
      <c r="AH23" s="231"/>
      <c r="AI23" s="231"/>
      <c r="AJ23" s="231"/>
      <c r="AK23" s="231"/>
      <c r="AL23" s="234"/>
      <c r="AM23" s="234"/>
      <c r="AN23" s="235"/>
      <c r="AO23" s="245"/>
      <c r="AQ23" s="182">
        <v>1</v>
      </c>
      <c r="AR23" s="204">
        <f>VLOOKUP(AQ23,DependChild_Order,2,FALSE)</f>
        <v>0</v>
      </c>
      <c r="AS23" s="204" t="s">
        <v>323</v>
      </c>
      <c r="AU23" s="205"/>
      <c r="AV23" s="205"/>
      <c r="AW23" s="205"/>
    </row>
    <row r="24" spans="1:49" ht="12" customHeight="1">
      <c r="A24" s="198"/>
      <c r="B24" s="206"/>
      <c r="C24" s="215"/>
      <c r="D24" s="397"/>
      <c r="E24" s="397"/>
      <c r="F24" s="397"/>
      <c r="G24" s="397"/>
      <c r="H24" s="397"/>
      <c r="I24" s="397"/>
      <c r="J24" s="397"/>
      <c r="K24" s="397"/>
      <c r="L24" s="397"/>
      <c r="M24" s="397"/>
      <c r="N24" s="397"/>
      <c r="O24" s="397"/>
      <c r="P24" s="254"/>
      <c r="Q24" s="254"/>
      <c r="R24" s="381"/>
      <c r="S24" s="381"/>
      <c r="T24" s="249"/>
      <c r="U24" s="245"/>
      <c r="V24" s="206"/>
      <c r="W24" s="270"/>
      <c r="X24" s="270"/>
      <c r="Y24" s="270"/>
      <c r="Z24" s="270"/>
      <c r="AA24" s="270"/>
      <c r="AB24" s="270"/>
      <c r="AC24" s="270"/>
      <c r="AD24" s="270"/>
      <c r="AE24" s="270"/>
      <c r="AF24" s="270"/>
      <c r="AG24" s="270"/>
      <c r="AH24" s="270"/>
      <c r="AI24" s="270"/>
      <c r="AJ24" s="270"/>
      <c r="AK24" s="270"/>
      <c r="AL24" s="270"/>
      <c r="AM24" s="270"/>
      <c r="AN24" s="270"/>
      <c r="AO24" s="245"/>
      <c r="AQ24" s="182"/>
      <c r="AR24" s="204"/>
      <c r="AS24" s="204"/>
      <c r="AU24" s="205"/>
      <c r="AV24" s="205"/>
      <c r="AW24" s="205"/>
    </row>
    <row r="25" spans="1:49" ht="12" customHeight="1">
      <c r="A25" s="198"/>
      <c r="B25" s="206"/>
      <c r="C25" s="215"/>
      <c r="D25" s="397" t="s">
        <v>341</v>
      </c>
      <c r="E25" s="397"/>
      <c r="F25" s="397"/>
      <c r="G25" s="397"/>
      <c r="H25" s="397"/>
      <c r="I25" s="397"/>
      <c r="J25" s="397"/>
      <c r="K25" s="397"/>
      <c r="L25" s="397"/>
      <c r="M25" s="397"/>
      <c r="N25" s="397"/>
      <c r="O25" s="397"/>
      <c r="P25" s="257"/>
      <c r="Q25" s="257"/>
      <c r="R25" s="380">
        <f>IF($AR$16&gt;0,2*'Salary and Allowances'!$X$8*AR25,0)</f>
        <v>0</v>
      </c>
      <c r="S25" s="380"/>
      <c r="T25" s="249"/>
      <c r="U25" s="245"/>
      <c r="V25" s="206"/>
      <c r="W25" s="279"/>
      <c r="X25" s="294" t="s">
        <v>339</v>
      </c>
      <c r="Y25" s="212"/>
      <c r="Z25" s="209"/>
      <c r="AA25" s="183"/>
      <c r="AB25" s="183"/>
      <c r="AC25" s="183"/>
      <c r="AD25" s="183"/>
      <c r="AE25" s="183"/>
      <c r="AF25" s="183"/>
      <c r="AG25" s="183"/>
      <c r="AH25" s="183"/>
      <c r="AI25" s="183"/>
      <c r="AJ25" s="183"/>
      <c r="AK25" s="183"/>
      <c r="AL25" s="295"/>
      <c r="AM25" s="295"/>
      <c r="AN25" s="295"/>
      <c r="AO25" s="245"/>
      <c r="AQ25" s="182">
        <v>1</v>
      </c>
      <c r="AR25" s="204">
        <f>VLOOKUP(AQ25,DependChild_Order,2,FALSE)</f>
        <v>0</v>
      </c>
      <c r="AS25" s="204" t="s">
        <v>325</v>
      </c>
      <c r="AU25" s="205"/>
      <c r="AV25" s="205"/>
      <c r="AW25" s="205"/>
    </row>
    <row r="26" spans="1:49" ht="12" customHeight="1">
      <c r="A26" s="198"/>
      <c r="B26" s="206"/>
      <c r="C26" s="215"/>
      <c r="D26" s="397"/>
      <c r="E26" s="397"/>
      <c r="F26" s="397"/>
      <c r="G26" s="397"/>
      <c r="H26" s="397"/>
      <c r="I26" s="397"/>
      <c r="J26" s="397"/>
      <c r="K26" s="397"/>
      <c r="L26" s="397"/>
      <c r="M26" s="397"/>
      <c r="N26" s="397"/>
      <c r="O26" s="397"/>
      <c r="P26" s="254"/>
      <c r="Q26" s="254"/>
      <c r="R26" s="381"/>
      <c r="S26" s="381"/>
      <c r="T26" s="249"/>
      <c r="U26" s="245"/>
      <c r="V26" s="206"/>
      <c r="W26" s="279"/>
      <c r="X26" s="280"/>
      <c r="Y26" s="212"/>
      <c r="Z26" s="212"/>
      <c r="AA26" s="212"/>
      <c r="AB26" s="212"/>
      <c r="AC26" s="212"/>
      <c r="AD26" s="212"/>
      <c r="AE26" s="212"/>
      <c r="AF26" s="212"/>
      <c r="AG26" s="212"/>
      <c r="AH26" s="212"/>
      <c r="AI26" s="212"/>
      <c r="AJ26" s="212"/>
      <c r="AK26" s="212"/>
      <c r="AL26" s="296"/>
      <c r="AM26" s="296"/>
      <c r="AN26" s="297"/>
      <c r="AO26" s="245"/>
      <c r="AQ26" s="182"/>
      <c r="AR26" s="204"/>
      <c r="AS26" s="204"/>
      <c r="AU26" s="205"/>
      <c r="AV26" s="205"/>
      <c r="AW26" s="205"/>
    </row>
    <row r="27" spans="1:49" ht="12" customHeight="1">
      <c r="A27" s="198"/>
      <c r="B27" s="206"/>
      <c r="C27" s="215"/>
      <c r="D27" s="397" t="s">
        <v>342</v>
      </c>
      <c r="E27" s="397"/>
      <c r="F27" s="397"/>
      <c r="G27" s="397"/>
      <c r="H27" s="397"/>
      <c r="I27" s="397"/>
      <c r="J27" s="397"/>
      <c r="K27" s="397"/>
      <c r="L27" s="397"/>
      <c r="M27" s="397"/>
      <c r="N27" s="397"/>
      <c r="O27" s="397"/>
      <c r="P27" s="257"/>
      <c r="Q27" s="257"/>
      <c r="R27" s="380">
        <f>IF($AR$16&gt;0,(2*'Salary and Allowances'!$X$8)*AR27,0)</f>
        <v>0</v>
      </c>
      <c r="S27" s="380"/>
      <c r="T27" s="249"/>
      <c r="U27" s="245"/>
      <c r="V27" s="206"/>
      <c r="W27" s="260"/>
      <c r="X27" s="298"/>
      <c r="Y27" s="299" t="s">
        <v>251</v>
      </c>
      <c r="Z27" s="298"/>
      <c r="AA27" s="298"/>
      <c r="AB27" s="298"/>
      <c r="AC27" s="298"/>
      <c r="AD27" s="298"/>
      <c r="AE27" s="298"/>
      <c r="AF27" s="298"/>
      <c r="AG27" s="300"/>
      <c r="AH27" s="301"/>
      <c r="AI27" s="299"/>
      <c r="AJ27" s="300"/>
      <c r="AK27" s="302"/>
      <c r="AL27" s="396">
        <f>IFERROR($R$11,"ERROR")</f>
        <v>2339.6799999999998</v>
      </c>
      <c r="AM27" s="396"/>
      <c r="AN27" s="303"/>
      <c r="AO27" s="245"/>
      <c r="AQ27" s="182">
        <v>1</v>
      </c>
      <c r="AR27" s="204">
        <f>VLOOKUP(AQ27,DependChild_Order,2,FALSE)</f>
        <v>0</v>
      </c>
      <c r="AS27" s="204" t="s">
        <v>326</v>
      </c>
      <c r="AU27" s="205"/>
      <c r="AV27" s="205"/>
      <c r="AW27" s="205"/>
    </row>
    <row r="28" spans="1:49" ht="12" customHeight="1">
      <c r="A28" s="198"/>
      <c r="B28" s="206"/>
      <c r="C28" s="215"/>
      <c r="D28" s="397"/>
      <c r="E28" s="397"/>
      <c r="F28" s="397"/>
      <c r="G28" s="397"/>
      <c r="H28" s="397"/>
      <c r="I28" s="397"/>
      <c r="J28" s="397"/>
      <c r="K28" s="397"/>
      <c r="L28" s="397"/>
      <c r="M28" s="397"/>
      <c r="N28" s="397"/>
      <c r="O28" s="397"/>
      <c r="P28" s="254"/>
      <c r="Q28" s="254"/>
      <c r="R28" s="381"/>
      <c r="S28" s="381"/>
      <c r="T28" s="249"/>
      <c r="U28" s="245"/>
      <c r="V28" s="206"/>
      <c r="W28" s="260"/>
      <c r="X28" s="304"/>
      <c r="Y28" s="305" t="s">
        <v>1</v>
      </c>
      <c r="Z28" s="304"/>
      <c r="AA28" s="304"/>
      <c r="AB28" s="304"/>
      <c r="AC28" s="304"/>
      <c r="AD28" s="304"/>
      <c r="AE28" s="304"/>
      <c r="AF28" s="304"/>
      <c r="AG28" s="304"/>
      <c r="AH28" s="306"/>
      <c r="AI28" s="305"/>
      <c r="AJ28" s="307"/>
      <c r="AK28" s="308"/>
      <c r="AL28" s="369">
        <f>IFERROR($R$40,"ERROR")</f>
        <v>0</v>
      </c>
      <c r="AM28" s="369"/>
      <c r="AN28" s="303"/>
      <c r="AO28" s="245"/>
      <c r="AQ28" s="182"/>
      <c r="AR28" s="204"/>
      <c r="AS28" s="204"/>
      <c r="AU28" s="205"/>
      <c r="AV28" s="205"/>
      <c r="AW28" s="205"/>
    </row>
    <row r="29" spans="1:49" ht="12" customHeight="1">
      <c r="A29" s="256"/>
      <c r="B29" s="206"/>
      <c r="C29" s="260"/>
      <c r="D29" s="261" t="str">
        <f>"(a) under specific conditions, eu-LISA might reimburse the costs of nursery (only tuition fees) up to a max of "&amp;'Salary and Allowances'!$X$11&amp;" €/child)."</f>
        <v>(a) under specific conditions, eu-LISA might reimburse the costs of nursery (only tuition fees) up to a max of 524.98 €/child).</v>
      </c>
      <c r="E29" s="262"/>
      <c r="F29" s="263"/>
      <c r="G29" s="263"/>
      <c r="H29" s="263"/>
      <c r="I29" s="263"/>
      <c r="J29" s="263"/>
      <c r="K29" s="263"/>
      <c r="L29" s="263"/>
      <c r="M29" s="263"/>
      <c r="N29" s="263"/>
      <c r="O29" s="263"/>
      <c r="P29" s="264"/>
      <c r="Q29" s="265"/>
      <c r="R29" s="393">
        <f>SUM(R18:S27)</f>
        <v>0</v>
      </c>
      <c r="S29" s="393"/>
      <c r="T29" s="226"/>
      <c r="U29" s="227"/>
      <c r="V29" s="206"/>
      <c r="W29" s="260"/>
      <c r="X29" s="304"/>
      <c r="Y29" s="305" t="s">
        <v>0</v>
      </c>
      <c r="Z29" s="304"/>
      <c r="AA29" s="304"/>
      <c r="AB29" s="304"/>
      <c r="AC29" s="304"/>
      <c r="AD29" s="304"/>
      <c r="AE29" s="304"/>
      <c r="AF29" s="304"/>
      <c r="AG29" s="304"/>
      <c r="AH29" s="306"/>
      <c r="AI29" s="305"/>
      <c r="AJ29" s="307"/>
      <c r="AK29" s="308"/>
      <c r="AL29" s="369">
        <f>IFERROR($R$41,"ERROR")</f>
        <v>0</v>
      </c>
      <c r="AM29" s="369"/>
      <c r="AN29" s="303"/>
      <c r="AO29" s="227"/>
      <c r="AQ29" s="204" t="s">
        <v>277</v>
      </c>
      <c r="AR29" s="204">
        <f>SUM(AR18:AR27)</f>
        <v>0</v>
      </c>
      <c r="AS29" s="251"/>
      <c r="AU29" s="205"/>
      <c r="AV29" s="205"/>
      <c r="AW29" s="205"/>
    </row>
    <row r="30" spans="1:49" ht="12" customHeight="1">
      <c r="A30" s="256"/>
      <c r="B30" s="206"/>
      <c r="C30" s="260"/>
      <c r="D30" s="400" t="s">
        <v>324</v>
      </c>
      <c r="E30" s="400"/>
      <c r="F30" s="400"/>
      <c r="G30" s="400"/>
      <c r="H30" s="400"/>
      <c r="I30" s="400"/>
      <c r="J30" s="400"/>
      <c r="K30" s="400"/>
      <c r="L30" s="400"/>
      <c r="M30" s="400"/>
      <c r="N30" s="400"/>
      <c r="O30" s="400"/>
      <c r="P30" s="400"/>
      <c r="Q30" s="400"/>
      <c r="R30" s="372"/>
      <c r="S30" s="372"/>
      <c r="T30" s="226"/>
      <c r="U30" s="227"/>
      <c r="V30" s="206"/>
      <c r="W30" s="215"/>
      <c r="X30" s="304"/>
      <c r="Y30" s="305" t="s">
        <v>71</v>
      </c>
      <c r="Z30" s="304"/>
      <c r="AA30" s="304"/>
      <c r="AB30" s="304"/>
      <c r="AC30" s="304"/>
      <c r="AD30" s="304"/>
      <c r="AE30" s="304"/>
      <c r="AF30" s="304"/>
      <c r="AG30" s="304"/>
      <c r="AH30" s="306"/>
      <c r="AI30" s="305"/>
      <c r="AJ30" s="308"/>
      <c r="AK30" s="308"/>
      <c r="AL30" s="369">
        <f>IFERROR($R$29,"ERROR")</f>
        <v>0</v>
      </c>
      <c r="AM30" s="369"/>
      <c r="AN30" s="303"/>
      <c r="AO30" s="227"/>
      <c r="AQ30" s="251"/>
      <c r="AR30" s="251"/>
      <c r="AS30" s="251"/>
      <c r="AU30" s="205"/>
      <c r="AV30" s="205"/>
      <c r="AW30" s="205"/>
    </row>
    <row r="31" spans="1:49" ht="12" customHeight="1">
      <c r="A31" s="256"/>
      <c r="B31" s="206"/>
      <c r="C31" s="260"/>
      <c r="D31" s="400"/>
      <c r="E31" s="400"/>
      <c r="F31" s="400"/>
      <c r="G31" s="400"/>
      <c r="H31" s="400"/>
      <c r="I31" s="400"/>
      <c r="J31" s="400"/>
      <c r="K31" s="400"/>
      <c r="L31" s="400"/>
      <c r="M31" s="400"/>
      <c r="N31" s="400"/>
      <c r="O31" s="400"/>
      <c r="P31" s="400"/>
      <c r="Q31" s="400"/>
      <c r="R31" s="333"/>
      <c r="S31" s="266"/>
      <c r="T31" s="226"/>
      <c r="U31" s="227"/>
      <c r="V31" s="206"/>
      <c r="W31" s="309"/>
      <c r="X31" s="310"/>
      <c r="Y31" s="305" t="s">
        <v>2</v>
      </c>
      <c r="Z31" s="310"/>
      <c r="AA31" s="310"/>
      <c r="AB31" s="310"/>
      <c r="AC31" s="310"/>
      <c r="AD31" s="310"/>
      <c r="AE31" s="310"/>
      <c r="AF31" s="310"/>
      <c r="AG31" s="310"/>
      <c r="AH31" s="311"/>
      <c r="AI31" s="305"/>
      <c r="AJ31" s="308"/>
      <c r="AK31" s="308"/>
      <c r="AL31" s="369">
        <f>IFERROR($AL$21,"ERROR")</f>
        <v>0</v>
      </c>
      <c r="AM31" s="369"/>
      <c r="AN31" s="303"/>
      <c r="AO31" s="227"/>
      <c r="AQ31" s="251"/>
      <c r="AR31" s="251"/>
      <c r="AS31" s="251"/>
      <c r="AU31" s="205"/>
      <c r="AV31" s="205"/>
      <c r="AW31" s="205"/>
    </row>
    <row r="32" spans="1:49" ht="12" customHeight="1" thickBot="1">
      <c r="A32" s="256"/>
      <c r="B32" s="206"/>
      <c r="C32" s="260"/>
      <c r="D32" s="400" t="s">
        <v>327</v>
      </c>
      <c r="E32" s="400"/>
      <c r="F32" s="400"/>
      <c r="G32" s="400"/>
      <c r="H32" s="400"/>
      <c r="I32" s="400"/>
      <c r="J32" s="400"/>
      <c r="K32" s="400"/>
      <c r="L32" s="400"/>
      <c r="M32" s="400"/>
      <c r="N32" s="400"/>
      <c r="O32" s="400"/>
      <c r="P32" s="400"/>
      <c r="Q32" s="400"/>
      <c r="R32" s="333"/>
      <c r="S32" s="266"/>
      <c r="T32" s="226"/>
      <c r="U32" s="227"/>
      <c r="V32" s="206"/>
      <c r="W32" s="312"/>
      <c r="X32" s="313"/>
      <c r="Y32" s="313"/>
      <c r="Z32" s="313"/>
      <c r="AA32" s="313"/>
      <c r="AB32" s="313"/>
      <c r="AC32" s="313"/>
      <c r="AD32" s="313"/>
      <c r="AE32" s="313"/>
      <c r="AF32" s="313"/>
      <c r="AG32" s="314"/>
      <c r="AH32" s="314"/>
      <c r="AI32" s="377" t="s">
        <v>111</v>
      </c>
      <c r="AJ32" s="377"/>
      <c r="AK32" s="377"/>
      <c r="AL32" s="395">
        <f>IFERROR(SUM(AL27:AM31),"ERROR")</f>
        <v>2339.6799999999998</v>
      </c>
      <c r="AM32" s="395"/>
      <c r="AN32" s="315"/>
      <c r="AO32" s="227"/>
      <c r="AQ32" s="251"/>
      <c r="AR32" s="251"/>
      <c r="AS32" s="251"/>
      <c r="AU32" s="205"/>
      <c r="AV32" s="205"/>
      <c r="AW32" s="205"/>
    </row>
    <row r="33" spans="1:49" ht="12" customHeight="1">
      <c r="A33" s="256"/>
      <c r="B33" s="206"/>
      <c r="C33" s="260"/>
      <c r="D33" s="400"/>
      <c r="E33" s="400"/>
      <c r="F33" s="400"/>
      <c r="G33" s="400"/>
      <c r="H33" s="400"/>
      <c r="I33" s="400"/>
      <c r="J33" s="400"/>
      <c r="K33" s="400"/>
      <c r="L33" s="400"/>
      <c r="M33" s="400"/>
      <c r="N33" s="400"/>
      <c r="O33" s="400"/>
      <c r="P33" s="400"/>
      <c r="Q33" s="400"/>
      <c r="R33" s="333"/>
      <c r="S33" s="266"/>
      <c r="T33" s="226"/>
      <c r="U33" s="227"/>
      <c r="V33" s="206"/>
      <c r="W33" s="312"/>
      <c r="X33" s="360"/>
      <c r="Y33" s="361"/>
      <c r="Z33" s="360"/>
      <c r="AA33" s="360"/>
      <c r="AB33" s="360"/>
      <c r="AC33" s="360"/>
      <c r="AD33" s="360"/>
      <c r="AE33" s="360"/>
      <c r="AF33" s="360"/>
      <c r="AG33" s="362"/>
      <c r="AH33" s="363"/>
      <c r="AI33" s="361"/>
      <c r="AJ33" s="364"/>
      <c r="AK33" s="364"/>
      <c r="AL33" s="375"/>
      <c r="AM33" s="375"/>
      <c r="AN33" s="303"/>
      <c r="AO33" s="227"/>
      <c r="AQ33" s="251"/>
      <c r="AR33" s="251"/>
      <c r="AS33" s="251"/>
      <c r="AU33" s="205"/>
      <c r="AV33" s="205"/>
      <c r="AW33" s="205"/>
    </row>
    <row r="34" spans="1:49" ht="12" customHeight="1">
      <c r="A34" s="256"/>
      <c r="B34" s="206"/>
      <c r="C34" s="260"/>
      <c r="D34" s="370" t="s">
        <v>347</v>
      </c>
      <c r="E34" s="370"/>
      <c r="F34" s="370"/>
      <c r="G34" s="370"/>
      <c r="H34" s="370"/>
      <c r="I34" s="370"/>
      <c r="J34" s="370"/>
      <c r="K34" s="370"/>
      <c r="L34" s="370"/>
      <c r="M34" s="370"/>
      <c r="N34" s="370"/>
      <c r="O34" s="370"/>
      <c r="P34" s="370"/>
      <c r="Q34" s="370"/>
      <c r="R34" s="370"/>
      <c r="S34" s="266"/>
      <c r="T34" s="226"/>
      <c r="U34" s="227"/>
      <c r="V34" s="206"/>
      <c r="W34" s="312"/>
      <c r="X34" s="316"/>
      <c r="Y34" s="317" t="s">
        <v>246</v>
      </c>
      <c r="Z34" s="316"/>
      <c r="AA34" s="316"/>
      <c r="AB34" s="316"/>
      <c r="AC34" s="316"/>
      <c r="AD34" s="316"/>
      <c r="AE34" s="316"/>
      <c r="AF34" s="316"/>
      <c r="AG34" s="318"/>
      <c r="AH34" s="319">
        <v>1E-3</v>
      </c>
      <c r="AI34" s="317"/>
      <c r="AJ34" s="302"/>
      <c r="AK34" s="302"/>
      <c r="AL34" s="396">
        <f>-IFERROR(AH34*$R$11,"ERROR")</f>
        <v>-2.33968</v>
      </c>
      <c r="AM34" s="396"/>
      <c r="AN34" s="303"/>
      <c r="AO34" s="227"/>
      <c r="AQ34" s="251"/>
      <c r="AR34" s="251"/>
      <c r="AS34" s="251"/>
      <c r="AU34" s="205"/>
      <c r="AV34" s="205"/>
      <c r="AW34" s="205"/>
    </row>
    <row r="35" spans="1:49" ht="12" customHeight="1">
      <c r="A35" s="256"/>
      <c r="B35" s="206"/>
      <c r="C35" s="260"/>
      <c r="D35" s="370"/>
      <c r="E35" s="370"/>
      <c r="F35" s="370"/>
      <c r="G35" s="370"/>
      <c r="H35" s="370"/>
      <c r="I35" s="370"/>
      <c r="J35" s="370"/>
      <c r="K35" s="370"/>
      <c r="L35" s="370"/>
      <c r="M35" s="370"/>
      <c r="N35" s="370"/>
      <c r="O35" s="370"/>
      <c r="P35" s="370"/>
      <c r="Q35" s="370"/>
      <c r="R35" s="370"/>
      <c r="S35" s="266"/>
      <c r="T35" s="226"/>
      <c r="U35" s="227"/>
      <c r="V35" s="206"/>
      <c r="W35" s="312"/>
      <c r="X35" s="310"/>
      <c r="Y35" s="305" t="s">
        <v>247</v>
      </c>
      <c r="Z35" s="310"/>
      <c r="AA35" s="310"/>
      <c r="AB35" s="310"/>
      <c r="AC35" s="310"/>
      <c r="AD35" s="310"/>
      <c r="AE35" s="310"/>
      <c r="AF35" s="310"/>
      <c r="AG35" s="310"/>
      <c r="AH35" s="320">
        <v>1.7000000000000001E-2</v>
      </c>
      <c r="AI35" s="305"/>
      <c r="AJ35" s="308"/>
      <c r="AK35" s="308"/>
      <c r="AL35" s="369">
        <f>-IFERROR(AH35*$R$11,"ERROR")</f>
        <v>-39.774560000000001</v>
      </c>
      <c r="AM35" s="369"/>
      <c r="AN35" s="303"/>
      <c r="AO35" s="227"/>
      <c r="AQ35" s="251"/>
      <c r="AR35" s="251"/>
      <c r="AS35" s="251"/>
      <c r="AU35" s="205"/>
      <c r="AV35" s="205"/>
      <c r="AW35" s="205"/>
    </row>
    <row r="36" spans="1:49" ht="12" customHeight="1">
      <c r="A36" s="256"/>
      <c r="B36" s="206"/>
      <c r="C36" s="267"/>
      <c r="D36" s="268"/>
      <c r="E36" s="231"/>
      <c r="F36" s="231"/>
      <c r="G36" s="231"/>
      <c r="H36" s="231"/>
      <c r="I36" s="231"/>
      <c r="J36" s="231"/>
      <c r="K36" s="231"/>
      <c r="L36" s="231"/>
      <c r="M36" s="231"/>
      <c r="N36" s="231"/>
      <c r="O36" s="231"/>
      <c r="P36" s="231"/>
      <c r="Q36" s="231"/>
      <c r="R36" s="234"/>
      <c r="S36" s="234"/>
      <c r="T36" s="235"/>
      <c r="U36" s="227"/>
      <c r="V36" s="206"/>
      <c r="W36" s="312"/>
      <c r="X36" s="310"/>
      <c r="Y36" s="305" t="s">
        <v>13</v>
      </c>
      <c r="Z36" s="310"/>
      <c r="AA36" s="310"/>
      <c r="AB36" s="310"/>
      <c r="AC36" s="310"/>
      <c r="AD36" s="310"/>
      <c r="AE36" s="310"/>
      <c r="AF36" s="310"/>
      <c r="AG36" s="310"/>
      <c r="AH36" s="320">
        <v>0.111</v>
      </c>
      <c r="AI36" s="305"/>
      <c r="AJ36" s="308"/>
      <c r="AK36" s="308"/>
      <c r="AL36" s="369">
        <f>-IFERROR(AH36*$R$11,"ERROR")</f>
        <v>-259.70447999999999</v>
      </c>
      <c r="AM36" s="369"/>
      <c r="AN36" s="303"/>
      <c r="AO36" s="227"/>
      <c r="AQ36" s="205"/>
      <c r="AR36" s="269"/>
      <c r="AS36" s="269"/>
      <c r="AU36" s="205"/>
      <c r="AV36" s="205"/>
      <c r="AW36" s="205"/>
    </row>
    <row r="37" spans="1:49" ht="12" customHeight="1">
      <c r="A37" s="256"/>
      <c r="B37" s="206"/>
      <c r="C37" s="270"/>
      <c r="D37" s="270"/>
      <c r="E37" s="183"/>
      <c r="F37" s="183"/>
      <c r="G37" s="183"/>
      <c r="H37" s="271"/>
      <c r="I37" s="271"/>
      <c r="J37" s="271"/>
      <c r="K37" s="271"/>
      <c r="L37" s="271"/>
      <c r="M37" s="271"/>
      <c r="N37" s="271"/>
      <c r="O37" s="271"/>
      <c r="P37" s="271"/>
      <c r="Q37" s="271"/>
      <c r="R37" s="272"/>
      <c r="S37" s="272"/>
      <c r="T37" s="273"/>
      <c r="U37" s="227"/>
      <c r="V37" s="206"/>
      <c r="W37" s="312"/>
      <c r="X37" s="310"/>
      <c r="Y37" s="305" t="s">
        <v>248</v>
      </c>
      <c r="Z37" s="310"/>
      <c r="AA37" s="310"/>
      <c r="AB37" s="310"/>
      <c r="AC37" s="310"/>
      <c r="AD37" s="310"/>
      <c r="AE37" s="310"/>
      <c r="AF37" s="310"/>
      <c r="AG37" s="310"/>
      <c r="AH37" s="320">
        <v>8.0999999999999996E-3</v>
      </c>
      <c r="AI37" s="305"/>
      <c r="AJ37" s="308"/>
      <c r="AK37" s="308"/>
      <c r="AL37" s="369">
        <f>-IFERROR(($R$11-'Salary and Allowances'!$Y$48)*AH37,"ERROR")</f>
        <v>-9.600362999999998</v>
      </c>
      <c r="AM37" s="369"/>
      <c r="AN37" s="303"/>
      <c r="AO37" s="227"/>
      <c r="AQ37" s="274"/>
      <c r="AR37" s="214"/>
      <c r="AS37" s="269"/>
      <c r="AU37" s="205"/>
      <c r="AV37" s="205"/>
      <c r="AW37" s="205"/>
    </row>
    <row r="38" spans="1:49" ht="12" customHeight="1">
      <c r="A38" s="256"/>
      <c r="B38" s="206"/>
      <c r="C38" s="275"/>
      <c r="D38" s="241" t="s">
        <v>336</v>
      </c>
      <c r="E38" s="242"/>
      <c r="F38" s="242"/>
      <c r="G38" s="242"/>
      <c r="H38" s="242"/>
      <c r="I38" s="243"/>
      <c r="J38" s="276"/>
      <c r="K38" s="276"/>
      <c r="L38" s="276"/>
      <c r="M38" s="276"/>
      <c r="N38" s="276"/>
      <c r="O38" s="276"/>
      <c r="P38" s="276"/>
      <c r="Q38" s="276"/>
      <c r="R38" s="277"/>
      <c r="S38" s="277"/>
      <c r="T38" s="278"/>
      <c r="U38" s="227"/>
      <c r="V38" s="206"/>
      <c r="W38" s="312"/>
      <c r="X38" s="310"/>
      <c r="Y38" s="305" t="s">
        <v>249</v>
      </c>
      <c r="Z38" s="310"/>
      <c r="AA38" s="310"/>
      <c r="AB38" s="310"/>
      <c r="AC38" s="310"/>
      <c r="AD38" s="310"/>
      <c r="AE38" s="310"/>
      <c r="AF38" s="310"/>
      <c r="AG38" s="310"/>
      <c r="AH38" s="320">
        <v>0.06</v>
      </c>
      <c r="AI38" s="305"/>
      <c r="AJ38" s="308"/>
      <c r="AK38" s="308"/>
      <c r="AL38" s="369">
        <f>-IFERROR('CA Tax'!$R$26,"ERROR")</f>
        <v>0</v>
      </c>
      <c r="AM38" s="369"/>
      <c r="AN38" s="303"/>
      <c r="AO38" s="227"/>
      <c r="AQ38" s="274"/>
      <c r="AR38" s="214"/>
      <c r="AS38" s="269"/>
      <c r="AU38" s="205"/>
      <c r="AV38" s="205"/>
      <c r="AW38" s="205"/>
    </row>
    <row r="39" spans="1:49" ht="12" customHeight="1" thickBot="1">
      <c r="A39" s="256"/>
      <c r="B39" s="206"/>
      <c r="C39" s="279"/>
      <c r="D39" s="352"/>
      <c r="E39" s="352"/>
      <c r="F39" s="352"/>
      <c r="G39" s="352"/>
      <c r="H39" s="352"/>
      <c r="I39" s="352"/>
      <c r="J39" s="352"/>
      <c r="K39" s="352"/>
      <c r="L39" s="352"/>
      <c r="M39" s="212"/>
      <c r="N39" s="212"/>
      <c r="O39" s="212"/>
      <c r="P39" s="212"/>
      <c r="Q39" s="212"/>
      <c r="R39" s="281"/>
      <c r="S39" s="281"/>
      <c r="T39" s="282"/>
      <c r="U39" s="227"/>
      <c r="V39" s="206"/>
      <c r="W39" s="312"/>
      <c r="X39" s="310"/>
      <c r="Y39" s="358" t="s">
        <v>250</v>
      </c>
      <c r="Z39" s="358"/>
      <c r="AA39" s="358"/>
      <c r="AB39" s="358"/>
      <c r="AC39" s="310"/>
      <c r="AD39" s="310"/>
      <c r="AE39" s="310"/>
      <c r="AF39" s="310"/>
      <c r="AG39" s="359"/>
      <c r="AH39" s="359" t="s">
        <v>191</v>
      </c>
      <c r="AI39" s="305"/>
      <c r="AJ39" s="308"/>
      <c r="AK39" s="308"/>
      <c r="AL39" s="369">
        <f>IFERROR(-'CA Tax'!$O$22*$AH$41,"ERROR")</f>
        <v>0</v>
      </c>
      <c r="AM39" s="369"/>
      <c r="AN39" s="303"/>
      <c r="AO39" s="227"/>
      <c r="AQ39" s="274"/>
      <c r="AR39" s="214"/>
      <c r="AS39" s="269"/>
      <c r="AU39" s="331"/>
      <c r="AV39" s="331"/>
      <c r="AW39" s="331"/>
    </row>
    <row r="40" spans="1:49" ht="12" customHeight="1" thickBot="1">
      <c r="A40" s="256"/>
      <c r="B40" s="206"/>
      <c r="C40" s="215"/>
      <c r="D40" s="353" t="s">
        <v>276</v>
      </c>
      <c r="E40" s="283"/>
      <c r="F40" s="283"/>
      <c r="G40" s="283"/>
      <c r="H40" s="283"/>
      <c r="I40" s="283"/>
      <c r="J40" s="283"/>
      <c r="K40" s="283"/>
      <c r="L40" s="283"/>
      <c r="M40" s="365"/>
      <c r="N40" s="398">
        <f>$AR$16</f>
        <v>0</v>
      </c>
      <c r="O40" s="371" t="s">
        <v>274</v>
      </c>
      <c r="P40" s="371"/>
      <c r="Q40" s="371"/>
      <c r="R40" s="372">
        <f>IFERROR(IF($AR$16&gt;0,MAX('Salary and Allowances'!$X$6+0.02*$R$11,'Salary and Allowances'!$X$6),0),0)</f>
        <v>0</v>
      </c>
      <c r="S40" s="372">
        <f>IFERROR(IF(AR16&gt;0,MAX('Salary and Allowances'!$X$6+0.02*$R$11,'Salary and Allowances'!$X$6),0),0)</f>
        <v>0</v>
      </c>
      <c r="T40" s="284"/>
      <c r="U40" s="285"/>
      <c r="V40" s="206"/>
      <c r="W40" s="312"/>
      <c r="X40" s="354"/>
      <c r="Y40" s="354"/>
      <c r="Z40" s="354"/>
      <c r="AA40" s="354"/>
      <c r="AB40" s="354"/>
      <c r="AC40" s="354"/>
      <c r="AD40" s="354"/>
      <c r="AE40" s="354"/>
      <c r="AF40" s="354"/>
      <c r="AG40" s="354"/>
      <c r="AH40" s="355"/>
      <c r="AI40" s="377" t="s">
        <v>77</v>
      </c>
      <c r="AJ40" s="377"/>
      <c r="AK40" s="377"/>
      <c r="AL40" s="378">
        <f>IFERROR(SUM(AL34:AM39),"ERROR")</f>
        <v>-311.419083</v>
      </c>
      <c r="AM40" s="378"/>
      <c r="AN40" s="315"/>
      <c r="AO40" s="285"/>
      <c r="AQ40" s="214"/>
      <c r="AR40" s="274"/>
      <c r="AS40" s="205"/>
    </row>
    <row r="41" spans="1:49" ht="12" customHeight="1" thickBot="1">
      <c r="A41" s="256"/>
      <c r="B41" s="206"/>
      <c r="C41" s="215"/>
      <c r="D41" s="283"/>
      <c r="E41" s="283"/>
      <c r="F41" s="283"/>
      <c r="G41" s="283"/>
      <c r="H41" s="283"/>
      <c r="I41" s="283"/>
      <c r="J41" s="283"/>
      <c r="K41" s="283"/>
      <c r="L41" s="283"/>
      <c r="M41" s="365"/>
      <c r="N41" s="399"/>
      <c r="O41" s="371" t="s">
        <v>275</v>
      </c>
      <c r="P41" s="371"/>
      <c r="Q41" s="371"/>
      <c r="R41" s="372">
        <f>IFERROR(IF($AR$16&gt;0,'Salary and Allowances'!$X$7*$AR$16,0),0)</f>
        <v>0</v>
      </c>
      <c r="S41" s="372">
        <f>IFERROR(IF(AR27&gt;0,MAX('Salary and Allowances'!$X$6+0.02*$R$11,'Salary and Allowances'!$X$6),0),0)</f>
        <v>0</v>
      </c>
      <c r="T41" s="284"/>
      <c r="U41" s="285"/>
      <c r="V41" s="206"/>
      <c r="W41" s="312"/>
      <c r="X41" s="321"/>
      <c r="Y41" s="322" t="s">
        <v>252</v>
      </c>
      <c r="Z41" s="321"/>
      <c r="AA41" s="321"/>
      <c r="AB41" s="321"/>
      <c r="AC41" s="321"/>
      <c r="AD41" s="321"/>
      <c r="AE41" s="321"/>
      <c r="AF41" s="321"/>
      <c r="AG41" s="321"/>
      <c r="AH41" s="323">
        <f>R46</f>
        <v>0.9890000000000001</v>
      </c>
      <c r="AI41" s="324"/>
      <c r="AJ41" s="324"/>
      <c r="AK41" s="324"/>
      <c r="AL41" s="394">
        <f>IFERROR(($AL$32+SUM(AL34:AM38))*($AH$41-1),"ERROR")</f>
        <v>-22.310870086999792</v>
      </c>
      <c r="AM41" s="394"/>
      <c r="AN41" s="303"/>
      <c r="AO41" s="285"/>
      <c r="AQ41" s="214"/>
      <c r="AR41" s="274"/>
      <c r="AS41" s="205"/>
    </row>
    <row r="42" spans="1:49" ht="12" customHeight="1">
      <c r="A42" s="256"/>
      <c r="B42" s="206"/>
      <c r="C42" s="267"/>
      <c r="D42" s="268"/>
      <c r="E42" s="231"/>
      <c r="F42" s="231"/>
      <c r="G42" s="231"/>
      <c r="H42" s="231"/>
      <c r="I42" s="231"/>
      <c r="J42" s="231"/>
      <c r="K42" s="231"/>
      <c r="L42" s="231"/>
      <c r="M42" s="231"/>
      <c r="N42" s="231"/>
      <c r="O42" s="231"/>
      <c r="P42" s="231"/>
      <c r="Q42" s="231"/>
      <c r="R42" s="234"/>
      <c r="S42" s="234"/>
      <c r="T42" s="235"/>
      <c r="U42" s="227"/>
      <c r="V42" s="206"/>
      <c r="W42" s="309"/>
      <c r="X42" s="325"/>
      <c r="Y42" s="325"/>
      <c r="Z42" s="325"/>
      <c r="AA42" s="325"/>
      <c r="AB42" s="325"/>
      <c r="AC42" s="325"/>
      <c r="AD42" s="325"/>
      <c r="AE42" s="325"/>
      <c r="AF42" s="356"/>
      <c r="AG42" s="356"/>
      <c r="AH42" s="326"/>
      <c r="AI42" s="373" t="s">
        <v>194</v>
      </c>
      <c r="AJ42" s="373"/>
      <c r="AK42" s="374">
        <f>IFERROR(AL32+AL40+AL41,"ERROR")</f>
        <v>2005.9500469130001</v>
      </c>
      <c r="AL42" s="374"/>
      <c r="AM42" s="374"/>
      <c r="AN42" s="327"/>
      <c r="AO42" s="227"/>
      <c r="AQ42" s="205"/>
      <c r="AR42" s="269"/>
      <c r="AS42" s="269"/>
    </row>
    <row r="43" spans="1:49" ht="12" customHeight="1">
      <c r="A43" s="256"/>
      <c r="B43" s="206"/>
      <c r="C43" s="191"/>
      <c r="D43" s="191"/>
      <c r="E43" s="191"/>
      <c r="F43" s="191"/>
      <c r="G43" s="191"/>
      <c r="H43" s="191"/>
      <c r="I43" s="191"/>
      <c r="J43" s="191"/>
      <c r="K43" s="191"/>
      <c r="L43" s="191"/>
      <c r="M43" s="191"/>
      <c r="N43" s="191"/>
      <c r="O43" s="191"/>
      <c r="P43" s="191"/>
      <c r="Q43" s="191"/>
      <c r="R43" s="191"/>
      <c r="S43" s="191"/>
      <c r="T43" s="191"/>
      <c r="U43" s="227"/>
      <c r="V43" s="206"/>
      <c r="W43" s="309"/>
      <c r="X43" s="325"/>
      <c r="Y43" s="325"/>
      <c r="Z43" s="325"/>
      <c r="AA43" s="325"/>
      <c r="AB43" s="325"/>
      <c r="AC43" s="325"/>
      <c r="AD43" s="325"/>
      <c r="AE43" s="325"/>
      <c r="AF43" s="356"/>
      <c r="AG43" s="356"/>
      <c r="AH43" s="326"/>
      <c r="AI43" s="373"/>
      <c r="AJ43" s="373"/>
      <c r="AK43" s="374"/>
      <c r="AL43" s="374"/>
      <c r="AM43" s="374"/>
      <c r="AN43" s="327"/>
      <c r="AO43" s="227"/>
      <c r="AQ43" s="197"/>
      <c r="AR43" s="197"/>
      <c r="AS43" s="197"/>
    </row>
    <row r="44" spans="1:49" ht="12" customHeight="1">
      <c r="A44" s="256"/>
      <c r="B44" s="206"/>
      <c r="C44" s="275"/>
      <c r="D44" s="241" t="s">
        <v>337</v>
      </c>
      <c r="E44" s="242"/>
      <c r="F44" s="243"/>
      <c r="G44" s="183"/>
      <c r="H44" s="183"/>
      <c r="I44" s="183"/>
      <c r="J44" s="183"/>
      <c r="K44" s="183"/>
      <c r="L44" s="183"/>
      <c r="M44" s="183"/>
      <c r="N44" s="183"/>
      <c r="O44" s="183"/>
      <c r="P44" s="183"/>
      <c r="Q44" s="289"/>
      <c r="R44" s="183"/>
      <c r="S44" s="183"/>
      <c r="T44" s="183"/>
      <c r="U44" s="227"/>
      <c r="V44" s="206"/>
      <c r="W44" s="309"/>
      <c r="X44" s="376" t="s">
        <v>351</v>
      </c>
      <c r="Y44" s="376"/>
      <c r="Z44" s="376"/>
      <c r="AA44" s="376"/>
      <c r="AB44" s="376"/>
      <c r="AC44" s="376"/>
      <c r="AD44" s="376"/>
      <c r="AE44" s="376"/>
      <c r="AF44" s="376"/>
      <c r="AG44" s="376"/>
      <c r="AH44" s="376"/>
      <c r="AI44" s="376"/>
      <c r="AJ44" s="376"/>
      <c r="AK44" s="376"/>
      <c r="AL44" s="376"/>
      <c r="AM44" s="376"/>
      <c r="AN44" s="327"/>
      <c r="AO44" s="227"/>
      <c r="AQ44" s="204" t="s">
        <v>193</v>
      </c>
      <c r="AR44" s="214"/>
      <c r="AS44" s="269"/>
    </row>
    <row r="45" spans="1:49" ht="6" customHeight="1">
      <c r="A45" s="198"/>
      <c r="B45" s="206"/>
      <c r="C45" s="279"/>
      <c r="D45" s="290"/>
      <c r="E45" s="212"/>
      <c r="F45" s="212"/>
      <c r="G45" s="212"/>
      <c r="H45" s="212"/>
      <c r="I45" s="212"/>
      <c r="J45" s="212"/>
      <c r="K45" s="212"/>
      <c r="L45" s="212"/>
      <c r="M45" s="212"/>
      <c r="N45" s="212"/>
      <c r="O45" s="212"/>
      <c r="P45" s="212"/>
      <c r="Q45" s="212"/>
      <c r="R45" s="212"/>
      <c r="S45" s="212"/>
      <c r="T45" s="213"/>
      <c r="U45" s="210"/>
      <c r="V45" s="206"/>
      <c r="W45" s="309"/>
      <c r="X45" s="376"/>
      <c r="Y45" s="376"/>
      <c r="Z45" s="376"/>
      <c r="AA45" s="376"/>
      <c r="AB45" s="376"/>
      <c r="AC45" s="376"/>
      <c r="AD45" s="376"/>
      <c r="AE45" s="376"/>
      <c r="AF45" s="376"/>
      <c r="AG45" s="376"/>
      <c r="AH45" s="376"/>
      <c r="AI45" s="376"/>
      <c r="AJ45" s="376"/>
      <c r="AK45" s="376"/>
      <c r="AL45" s="376"/>
      <c r="AM45" s="376"/>
      <c r="AN45" s="327"/>
      <c r="AO45" s="210"/>
      <c r="AQ45" s="214"/>
      <c r="AR45" s="274"/>
      <c r="AS45" s="205"/>
    </row>
    <row r="46" spans="1:49" ht="12" customHeight="1">
      <c r="A46" s="256"/>
      <c r="B46" s="206"/>
      <c r="C46" s="260"/>
      <c r="D46" s="216" t="s">
        <v>244</v>
      </c>
      <c r="E46" s="217"/>
      <c r="F46" s="217"/>
      <c r="G46" s="217"/>
      <c r="H46" s="217"/>
      <c r="I46" s="217"/>
      <c r="J46" s="217"/>
      <c r="K46" s="217"/>
      <c r="L46" s="217"/>
      <c r="M46" s="217"/>
      <c r="N46" s="217"/>
      <c r="O46" s="217"/>
      <c r="P46" s="217"/>
      <c r="Q46" s="217"/>
      <c r="R46" s="368">
        <f>VLOOKUP(AQ46,Country_Order,3,FALSE)</f>
        <v>0.9890000000000001</v>
      </c>
      <c r="S46" s="368"/>
      <c r="T46" s="291"/>
      <c r="U46" s="285"/>
      <c r="V46" s="206"/>
      <c r="W46" s="309"/>
      <c r="X46" s="376"/>
      <c r="Y46" s="376"/>
      <c r="Z46" s="376"/>
      <c r="AA46" s="376"/>
      <c r="AB46" s="376"/>
      <c r="AC46" s="376"/>
      <c r="AD46" s="376"/>
      <c r="AE46" s="376"/>
      <c r="AF46" s="376"/>
      <c r="AG46" s="376"/>
      <c r="AH46" s="376"/>
      <c r="AI46" s="376"/>
      <c r="AJ46" s="376"/>
      <c r="AK46" s="376"/>
      <c r="AL46" s="376"/>
      <c r="AM46" s="376"/>
      <c r="AN46" s="327"/>
      <c r="AO46" s="285"/>
      <c r="AQ46" s="182">
        <v>8</v>
      </c>
    </row>
    <row r="47" spans="1:49" ht="12" customHeight="1">
      <c r="A47" s="198"/>
      <c r="B47" s="206"/>
      <c r="C47" s="267"/>
      <c r="D47" s="230"/>
      <c r="E47" s="231"/>
      <c r="F47" s="231"/>
      <c r="G47" s="231"/>
      <c r="H47" s="231"/>
      <c r="I47" s="231"/>
      <c r="J47" s="231"/>
      <c r="K47" s="231"/>
      <c r="L47" s="231"/>
      <c r="M47" s="231"/>
      <c r="N47" s="231"/>
      <c r="O47" s="231"/>
      <c r="P47" s="231"/>
      <c r="Q47" s="231"/>
      <c r="R47" s="292"/>
      <c r="S47" s="292"/>
      <c r="T47" s="293"/>
      <c r="U47" s="288"/>
      <c r="V47" s="206"/>
      <c r="W47" s="328"/>
      <c r="X47" s="388" t="s">
        <v>352</v>
      </c>
      <c r="Y47" s="388"/>
      <c r="Z47" s="329"/>
      <c r="AA47" s="329"/>
      <c r="AB47" s="329"/>
      <c r="AC47" s="329"/>
      <c r="AD47" s="329"/>
      <c r="AE47" s="329"/>
      <c r="AF47" s="329"/>
      <c r="AG47" s="329"/>
      <c r="AH47" s="329"/>
      <c r="AI47" s="329"/>
      <c r="AJ47" s="329"/>
      <c r="AK47" s="329"/>
      <c r="AL47" s="329"/>
      <c r="AM47" s="329"/>
      <c r="AN47" s="330"/>
      <c r="AO47" s="288"/>
    </row>
    <row r="48" spans="1:49" ht="6" customHeight="1">
      <c r="B48" s="348"/>
      <c r="C48" s="349"/>
      <c r="D48" s="349"/>
      <c r="E48" s="349"/>
      <c r="F48" s="349"/>
      <c r="G48" s="349"/>
      <c r="H48" s="349"/>
      <c r="I48" s="349"/>
      <c r="J48" s="349"/>
      <c r="K48" s="349"/>
      <c r="L48" s="349"/>
      <c r="M48" s="349"/>
      <c r="N48" s="349"/>
      <c r="O48" s="349"/>
      <c r="P48" s="349"/>
      <c r="Q48" s="349"/>
      <c r="R48" s="349"/>
      <c r="S48" s="349"/>
      <c r="T48" s="349"/>
      <c r="U48" s="350"/>
      <c r="V48" s="351"/>
      <c r="W48" s="349"/>
      <c r="X48" s="349"/>
      <c r="Y48" s="349"/>
      <c r="Z48" s="349"/>
      <c r="AA48" s="349"/>
      <c r="AB48" s="349"/>
      <c r="AC48" s="349"/>
      <c r="AD48" s="349"/>
      <c r="AE48" s="349"/>
      <c r="AF48" s="349"/>
      <c r="AG48" s="349"/>
      <c r="AH48" s="349"/>
      <c r="AI48" s="349"/>
      <c r="AJ48" s="349"/>
      <c r="AK48" s="349"/>
      <c r="AL48" s="349"/>
      <c r="AM48" s="349"/>
      <c r="AN48" s="349"/>
      <c r="AO48" s="332"/>
    </row>
    <row r="49" customFormat="1" ht="12.75" hidden="1" customHeight="1"/>
    <row r="50" customFormat="1" ht="12.75" hidden="1" customHeight="1"/>
    <row r="51" customFormat="1" ht="12.75" hidden="1" customHeight="1"/>
    <row r="52" customFormat="1" ht="12.75" hidden="1" customHeight="1"/>
    <row r="53" customFormat="1" ht="12.75" hidden="1" customHeight="1"/>
    <row r="54" customFormat="1" ht="12.75" hidden="1" customHeight="1"/>
  </sheetData>
  <sheetProtection algorithmName="SHA-512" hashValue="/goPnMiFXvOvWisghb1GRITB4Zi+hzYZ8dyamfiayULAgmjjDTFX4sES5x/zAOPLUOnKcsemc/H0c+/VM75I2A==" saltValue="Af8sEdCNaJEIPcz7btIjvQ==" spinCount="100000" sheet="1" objects="1" scenarios="1" selectLockedCells="1"/>
  <mergeCells count="53">
    <mergeCell ref="D21:O22"/>
    <mergeCell ref="R21:S22"/>
    <mergeCell ref="X21:AI22"/>
    <mergeCell ref="AL21:AM22"/>
    <mergeCell ref="Q3:Y6"/>
    <mergeCell ref="Z4:AC5"/>
    <mergeCell ref="X10:AJ12"/>
    <mergeCell ref="R11:S11"/>
    <mergeCell ref="X13:AJ15"/>
    <mergeCell ref="X16:AJ18"/>
    <mergeCell ref="R18:S18"/>
    <mergeCell ref="AL18:AM18"/>
    <mergeCell ref="D19:O20"/>
    <mergeCell ref="R19:S20"/>
    <mergeCell ref="X19:AJ20"/>
    <mergeCell ref="AL19:AM20"/>
    <mergeCell ref="D23:O24"/>
    <mergeCell ref="R23:S24"/>
    <mergeCell ref="D25:O26"/>
    <mergeCell ref="R25:S26"/>
    <mergeCell ref="D27:O28"/>
    <mergeCell ref="R27:S28"/>
    <mergeCell ref="AL27:AM27"/>
    <mergeCell ref="AL28:AM28"/>
    <mergeCell ref="AL29:AM29"/>
    <mergeCell ref="D30:Q31"/>
    <mergeCell ref="AL30:AM30"/>
    <mergeCell ref="AL31:AM31"/>
    <mergeCell ref="D32:Q33"/>
    <mergeCell ref="AI32:AK32"/>
    <mergeCell ref="AL32:AM32"/>
    <mergeCell ref="AL33:AM33"/>
    <mergeCell ref="D34:R35"/>
    <mergeCell ref="AL34:AM34"/>
    <mergeCell ref="AL35:AM35"/>
    <mergeCell ref="N40:N41"/>
    <mergeCell ref="O40:Q40"/>
    <mergeCell ref="R40:S40"/>
    <mergeCell ref="AI40:AK40"/>
    <mergeCell ref="AL40:AM40"/>
    <mergeCell ref="O41:Q41"/>
    <mergeCell ref="X47:Y47"/>
    <mergeCell ref="R29:S30"/>
    <mergeCell ref="R41:S41"/>
    <mergeCell ref="AL41:AM41"/>
    <mergeCell ref="AI42:AJ43"/>
    <mergeCell ref="AK42:AM43"/>
    <mergeCell ref="X44:AM46"/>
    <mergeCell ref="R46:S46"/>
    <mergeCell ref="AL36:AM36"/>
    <mergeCell ref="AL37:AM37"/>
    <mergeCell ref="AL38:AM38"/>
    <mergeCell ref="AL39:AM39"/>
  </mergeCells>
  <conditionalFormatting sqref="AL34:AM41">
    <cfRule type="cellIs" dxfId="35" priority="2" operator="lessThan">
      <formula>0</formula>
    </cfRule>
  </conditionalFormatting>
  <printOptions horizontalCentered="1"/>
  <pageMargins left="0.23622047244094491" right="0.23622047244094491" top="0.55118110236220474" bottom="0.74803149606299213" header="0.31496062992125984" footer="0.31496062992125984"/>
  <pageSetup paperSize="9" scale="6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5" r:id="rId4" name="Drop Down 3">
              <controlPr locked="0" defaultSize="0" autoLine="0" autoPict="0">
                <anchor moveWithCells="1">
                  <from>
                    <xdr:col>13</xdr:col>
                    <xdr:colOff>428625</xdr:colOff>
                    <xdr:row>44</xdr:row>
                    <xdr:rowOff>133350</xdr:rowOff>
                  </from>
                  <to>
                    <xdr:col>16</xdr:col>
                    <xdr:colOff>390525</xdr:colOff>
                    <xdr:row>46</xdr:row>
                    <xdr:rowOff>66675</xdr:rowOff>
                  </to>
                </anchor>
              </controlPr>
            </control>
          </mc:Choice>
        </mc:AlternateContent>
        <mc:AlternateContent xmlns:mc="http://schemas.openxmlformats.org/markup-compatibility/2006">
          <mc:Choice Requires="x14">
            <control shapeId="18436" r:id="rId5" name="Drop Down 4">
              <controlPr locked="0" defaultSize="0" autoLine="0" autoPict="0">
                <anchor moveWithCells="1">
                  <from>
                    <xdr:col>15</xdr:col>
                    <xdr:colOff>295275</xdr:colOff>
                    <xdr:row>22</xdr:row>
                    <xdr:rowOff>66675</xdr:rowOff>
                  </from>
                  <to>
                    <xdr:col>16</xdr:col>
                    <xdr:colOff>419100</xdr:colOff>
                    <xdr:row>23</xdr:row>
                    <xdr:rowOff>95250</xdr:rowOff>
                  </to>
                </anchor>
              </controlPr>
            </control>
          </mc:Choice>
        </mc:AlternateContent>
        <mc:AlternateContent xmlns:mc="http://schemas.openxmlformats.org/markup-compatibility/2006">
          <mc:Choice Requires="x14">
            <control shapeId="18437" r:id="rId6" name="Drop Down 5">
              <controlPr locked="0" defaultSize="0" autoLine="0" autoPict="0">
                <anchor moveWithCells="1">
                  <from>
                    <xdr:col>15</xdr:col>
                    <xdr:colOff>295275</xdr:colOff>
                    <xdr:row>26</xdr:row>
                    <xdr:rowOff>66675</xdr:rowOff>
                  </from>
                  <to>
                    <xdr:col>16</xdr:col>
                    <xdr:colOff>419100</xdr:colOff>
                    <xdr:row>27</xdr:row>
                    <xdr:rowOff>95250</xdr:rowOff>
                  </to>
                </anchor>
              </controlPr>
            </control>
          </mc:Choice>
        </mc:AlternateContent>
        <mc:AlternateContent xmlns:mc="http://schemas.openxmlformats.org/markup-compatibility/2006">
          <mc:Choice Requires="x14">
            <control shapeId="18438" r:id="rId7" name="Option Button 6">
              <controlPr locked="0" defaultSize="0" autoFill="0" autoLine="0" autoPict="0" altText="Yes">
                <anchor moveWithCells="1">
                  <from>
                    <xdr:col>37</xdr:col>
                    <xdr:colOff>9525</xdr:colOff>
                    <xdr:row>9</xdr:row>
                    <xdr:rowOff>114300</xdr:rowOff>
                  </from>
                  <to>
                    <xdr:col>38</xdr:col>
                    <xdr:colOff>314325</xdr:colOff>
                    <xdr:row>11</xdr:row>
                    <xdr:rowOff>28575</xdr:rowOff>
                  </to>
                </anchor>
              </controlPr>
            </control>
          </mc:Choice>
        </mc:AlternateContent>
        <mc:AlternateContent xmlns:mc="http://schemas.openxmlformats.org/markup-compatibility/2006">
          <mc:Choice Requires="x14">
            <control shapeId="18439" r:id="rId8" name="Option Button 7">
              <controlPr locked="0" defaultSize="0" autoFill="0" autoLine="0" autoPict="0">
                <anchor moveWithCells="1">
                  <from>
                    <xdr:col>37</xdr:col>
                    <xdr:colOff>9525</xdr:colOff>
                    <xdr:row>12</xdr:row>
                    <xdr:rowOff>95250</xdr:rowOff>
                  </from>
                  <to>
                    <xdr:col>38</xdr:col>
                    <xdr:colOff>314325</xdr:colOff>
                    <xdr:row>14</xdr:row>
                    <xdr:rowOff>9525</xdr:rowOff>
                  </to>
                </anchor>
              </controlPr>
            </control>
          </mc:Choice>
        </mc:AlternateContent>
        <mc:AlternateContent xmlns:mc="http://schemas.openxmlformats.org/markup-compatibility/2006">
          <mc:Choice Requires="x14">
            <control shapeId="18440" r:id="rId9" name="Option Button 8">
              <controlPr locked="0" defaultSize="0" autoFill="0" autoLine="0" autoPict="0" altText="Yes">
                <anchor moveWithCells="1">
                  <from>
                    <xdr:col>37</xdr:col>
                    <xdr:colOff>9525</xdr:colOff>
                    <xdr:row>15</xdr:row>
                    <xdr:rowOff>123825</xdr:rowOff>
                  </from>
                  <to>
                    <xdr:col>38</xdr:col>
                    <xdr:colOff>314325</xdr:colOff>
                    <xdr:row>17</xdr:row>
                    <xdr:rowOff>38100</xdr:rowOff>
                  </to>
                </anchor>
              </controlPr>
            </control>
          </mc:Choice>
        </mc:AlternateContent>
        <mc:AlternateContent xmlns:mc="http://schemas.openxmlformats.org/markup-compatibility/2006">
          <mc:Choice Requires="x14">
            <control shapeId="18441" r:id="rId10" name="Option Button 9">
              <controlPr locked="0" defaultSize="0" autoFill="0" autoLine="0" autoPict="0">
                <anchor moveWithCells="1">
                  <from>
                    <xdr:col>37</xdr:col>
                    <xdr:colOff>9525</xdr:colOff>
                    <xdr:row>18</xdr:row>
                    <xdr:rowOff>38100</xdr:rowOff>
                  </from>
                  <to>
                    <xdr:col>38</xdr:col>
                    <xdr:colOff>314325</xdr:colOff>
                    <xdr:row>19</xdr:row>
                    <xdr:rowOff>104775</xdr:rowOff>
                  </to>
                </anchor>
              </controlPr>
            </control>
          </mc:Choice>
        </mc:AlternateContent>
        <mc:AlternateContent xmlns:mc="http://schemas.openxmlformats.org/markup-compatibility/2006">
          <mc:Choice Requires="x14">
            <control shapeId="18442" r:id="rId11" name="Drop Down 10">
              <controlPr locked="0" defaultSize="0" autoLine="0" autoPict="0">
                <anchor moveWithCells="1">
                  <from>
                    <xdr:col>12</xdr:col>
                    <xdr:colOff>142875</xdr:colOff>
                    <xdr:row>15</xdr:row>
                    <xdr:rowOff>19050</xdr:rowOff>
                  </from>
                  <to>
                    <xdr:col>13</xdr:col>
                    <xdr:colOff>266700</xdr:colOff>
                    <xdr:row>16</xdr:row>
                    <xdr:rowOff>47625</xdr:rowOff>
                  </to>
                </anchor>
              </controlPr>
            </control>
          </mc:Choice>
        </mc:AlternateContent>
        <mc:AlternateContent xmlns:mc="http://schemas.openxmlformats.org/markup-compatibility/2006">
          <mc:Choice Requires="x14">
            <control shapeId="18443" r:id="rId12" name="Drop Down 11">
              <controlPr locked="0" defaultSize="0" autoLine="0" autoPict="0">
                <anchor moveWithCells="1">
                  <from>
                    <xdr:col>15</xdr:col>
                    <xdr:colOff>295275</xdr:colOff>
                    <xdr:row>16</xdr:row>
                    <xdr:rowOff>76200</xdr:rowOff>
                  </from>
                  <to>
                    <xdr:col>16</xdr:col>
                    <xdr:colOff>419100</xdr:colOff>
                    <xdr:row>17</xdr:row>
                    <xdr:rowOff>104775</xdr:rowOff>
                  </to>
                </anchor>
              </controlPr>
            </control>
          </mc:Choice>
        </mc:AlternateContent>
        <mc:AlternateContent xmlns:mc="http://schemas.openxmlformats.org/markup-compatibility/2006">
          <mc:Choice Requires="x14">
            <control shapeId="18444" r:id="rId13" name="Drop Down 12">
              <controlPr locked="0" defaultSize="0" autoLine="0" autoPict="0">
                <anchor moveWithCells="1">
                  <from>
                    <xdr:col>15</xdr:col>
                    <xdr:colOff>295275</xdr:colOff>
                    <xdr:row>18</xdr:row>
                    <xdr:rowOff>76200</xdr:rowOff>
                  </from>
                  <to>
                    <xdr:col>16</xdr:col>
                    <xdr:colOff>419100</xdr:colOff>
                    <xdr:row>19</xdr:row>
                    <xdr:rowOff>104775</xdr:rowOff>
                  </to>
                </anchor>
              </controlPr>
            </control>
          </mc:Choice>
        </mc:AlternateContent>
        <mc:AlternateContent xmlns:mc="http://schemas.openxmlformats.org/markup-compatibility/2006">
          <mc:Choice Requires="x14">
            <control shapeId="18445" r:id="rId14" name="Drop Down 13">
              <controlPr locked="0" defaultSize="0" autoLine="0" autoPict="0">
                <anchor moveWithCells="1">
                  <from>
                    <xdr:col>15</xdr:col>
                    <xdr:colOff>295275</xdr:colOff>
                    <xdr:row>20</xdr:row>
                    <xdr:rowOff>76200</xdr:rowOff>
                  </from>
                  <to>
                    <xdr:col>16</xdr:col>
                    <xdr:colOff>419100</xdr:colOff>
                    <xdr:row>21</xdr:row>
                    <xdr:rowOff>95250</xdr:rowOff>
                  </to>
                </anchor>
              </controlPr>
            </control>
          </mc:Choice>
        </mc:AlternateContent>
        <mc:AlternateContent xmlns:mc="http://schemas.openxmlformats.org/markup-compatibility/2006">
          <mc:Choice Requires="x14">
            <control shapeId="18446" r:id="rId15" name="Drop Down 14">
              <controlPr locked="0" defaultSize="0" autoLine="0" autoPict="0">
                <anchor moveWithCells="1">
                  <from>
                    <xdr:col>15</xdr:col>
                    <xdr:colOff>295275</xdr:colOff>
                    <xdr:row>24</xdr:row>
                    <xdr:rowOff>66675</xdr:rowOff>
                  </from>
                  <to>
                    <xdr:col>16</xdr:col>
                    <xdr:colOff>419100</xdr:colOff>
                    <xdr:row>25</xdr:row>
                    <xdr:rowOff>95250</xdr:rowOff>
                  </to>
                </anchor>
              </controlPr>
            </control>
          </mc:Choice>
        </mc:AlternateContent>
        <mc:AlternateContent xmlns:mc="http://schemas.openxmlformats.org/markup-compatibility/2006">
          <mc:Choice Requires="x14">
            <control shapeId="18447" r:id="rId16" name="Drop Down 15">
              <controlPr locked="0" defaultSize="0" autoLine="0" autoPict="0">
                <anchor moveWithCells="1">
                  <from>
                    <xdr:col>6</xdr:col>
                    <xdr:colOff>38100</xdr:colOff>
                    <xdr:row>8</xdr:row>
                    <xdr:rowOff>47625</xdr:rowOff>
                  </from>
                  <to>
                    <xdr:col>7</xdr:col>
                    <xdr:colOff>314325</xdr:colOff>
                    <xdr:row>9</xdr:row>
                    <xdr:rowOff>152400</xdr:rowOff>
                  </to>
                </anchor>
              </controlPr>
            </control>
          </mc:Choice>
        </mc:AlternateContent>
        <mc:AlternateContent xmlns:mc="http://schemas.openxmlformats.org/markup-compatibility/2006">
          <mc:Choice Requires="x14">
            <control shapeId="18448" r:id="rId17" name="Drop Down 16">
              <controlPr locked="0" defaultSize="0" autoLine="0" autoPict="0">
                <anchor moveWithCells="1">
                  <from>
                    <xdr:col>6</xdr:col>
                    <xdr:colOff>38100</xdr:colOff>
                    <xdr:row>10</xdr:row>
                    <xdr:rowOff>47625</xdr:rowOff>
                  </from>
                  <to>
                    <xdr:col>7</xdr:col>
                    <xdr:colOff>314325</xdr:colOff>
                    <xdr:row>11</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21C4-1161-4EFF-8C2F-447DEDB67CF3}">
  <sheetPr codeName="Sheet3">
    <tabColor rgb="FF0070C0"/>
  </sheetPr>
  <dimension ref="B1:S32"/>
  <sheetViews>
    <sheetView showGridLines="0" zoomScaleNormal="100" workbookViewId="0"/>
  </sheetViews>
  <sheetFormatPr defaultRowHeight="15" customHeight="1"/>
  <cols>
    <col min="1" max="1" width="2.42578125" style="35" customWidth="1"/>
    <col min="2" max="2" width="9.7109375" style="35" customWidth="1"/>
    <col min="3" max="3" width="8.28515625" style="35" bestFit="1" customWidth="1"/>
    <col min="4" max="5" width="11" style="35" customWidth="1"/>
    <col min="6" max="6" width="9.42578125" style="35" bestFit="1" customWidth="1"/>
    <col min="7" max="7" width="11.85546875" style="35" bestFit="1" customWidth="1"/>
    <col min="8" max="9" width="15.42578125" style="35" bestFit="1" customWidth="1"/>
    <col min="10" max="10" width="2.85546875" style="35" customWidth="1"/>
    <col min="11" max="12" width="19.7109375" style="35" bestFit="1" customWidth="1"/>
    <col min="13" max="13" width="3.5703125" style="35" customWidth="1"/>
    <col min="14" max="14" width="27.42578125" style="35" bestFit="1" customWidth="1"/>
    <col min="15" max="15" width="13.85546875" style="35" customWidth="1"/>
    <col min="16" max="16" width="3.85546875" style="35" customWidth="1"/>
    <col min="17" max="17" width="20.42578125" style="35" bestFit="1" customWidth="1"/>
    <col min="18" max="18" width="16" style="35" customWidth="1"/>
    <col min="19" max="19" width="8.28515625" style="35" bestFit="1" customWidth="1"/>
    <col min="20" max="16384" width="9.140625" style="35"/>
  </cols>
  <sheetData>
    <row r="1" spans="2:19" ht="15" customHeight="1">
      <c r="B1" s="34" t="s">
        <v>155</v>
      </c>
      <c r="L1" s="27" t="s">
        <v>146</v>
      </c>
    </row>
    <row r="2" spans="2:19" ht="15" customHeight="1">
      <c r="B2" s="27" t="s">
        <v>69</v>
      </c>
      <c r="C2" s="36">
        <f>'Salary and Allowances'!$X$50</f>
        <v>6.9855</v>
      </c>
      <c r="I2" s="53"/>
      <c r="K2" s="28" t="s">
        <v>200</v>
      </c>
      <c r="L2" s="29" t="s">
        <v>148</v>
      </c>
    </row>
    <row r="3" spans="2:19" ht="15" customHeight="1">
      <c r="K3" s="30" t="s">
        <v>97</v>
      </c>
      <c r="L3" s="31">
        <f>INDEX(T_TA_salaries[],MATCH($K$3,T_TA_salaries[Function Group],0),MATCH($L$2,T_TA_salaries[#Headers],0))</f>
        <v>3360.76</v>
      </c>
    </row>
    <row r="5" spans="2:19" s="39" customFormat="1" ht="18" customHeight="1">
      <c r="B5" s="37" t="s">
        <v>6</v>
      </c>
      <c r="C5" s="38"/>
      <c r="D5" s="38"/>
      <c r="E5" s="38"/>
      <c r="F5" s="38"/>
      <c r="G5" s="38"/>
      <c r="H5" s="38"/>
    </row>
    <row r="6" spans="2:19" s="41" customFormat="1" ht="26.25" customHeight="1">
      <c r="B6" s="40" t="s">
        <v>157</v>
      </c>
      <c r="C6" s="40" t="s">
        <v>154</v>
      </c>
      <c r="D6" s="40" t="s">
        <v>7</v>
      </c>
      <c r="E6" s="40" t="s">
        <v>8</v>
      </c>
      <c r="F6" s="40" t="s">
        <v>192</v>
      </c>
      <c r="G6" s="40" t="s">
        <v>5</v>
      </c>
      <c r="H6" s="40" t="s">
        <v>9</v>
      </c>
      <c r="I6" s="40" t="s">
        <v>209</v>
      </c>
      <c r="K6" s="89" t="s">
        <v>201</v>
      </c>
      <c r="L6" s="90" t="s">
        <v>153</v>
      </c>
      <c r="N6" s="402" t="s">
        <v>213</v>
      </c>
      <c r="O6" s="402"/>
      <c r="Q6" s="401" t="s">
        <v>216</v>
      </c>
      <c r="R6" s="401"/>
    </row>
    <row r="7" spans="2:19" ht="15" customHeight="1">
      <c r="B7" s="80">
        <v>1</v>
      </c>
      <c r="C7" s="42">
        <v>19.91</v>
      </c>
      <c r="D7" s="42">
        <v>0</v>
      </c>
      <c r="E7" s="43">
        <f>T_CA_Tax[[#This Row],[Year 1968]]*$C$2</f>
        <v>139.08130500000001</v>
      </c>
      <c r="F7" s="43">
        <f>T_CA_Tax[[#This Row],[To]]-T_CA_Tax[[#This Row],[From]]</f>
        <v>139.08130500000001</v>
      </c>
      <c r="G7" s="44">
        <v>0</v>
      </c>
      <c r="H7" s="43">
        <f>T_CA_Tax[[#This Row],[Rate]]*T_CA_Tax[[#This Row],[Salary
bracket]]</f>
        <v>0</v>
      </c>
      <c r="I7" s="43">
        <v>0</v>
      </c>
      <c r="K7" s="76" t="s">
        <v>4</v>
      </c>
      <c r="L7" s="51">
        <f>'Contract Staff'!$AL$27</f>
        <v>2339.6799999999998</v>
      </c>
      <c r="N7" s="45" t="s">
        <v>16</v>
      </c>
      <c r="O7" s="46" t="s">
        <v>153</v>
      </c>
      <c r="Q7" s="45" t="s">
        <v>16</v>
      </c>
      <c r="R7" s="46" t="s">
        <v>153</v>
      </c>
    </row>
    <row r="8" spans="2:19" ht="15" customHeight="1">
      <c r="B8" s="81">
        <v>2</v>
      </c>
      <c r="C8" s="43">
        <v>351.46</v>
      </c>
      <c r="D8" s="55">
        <f>E7+0.000001</f>
        <v>139.08130600000001</v>
      </c>
      <c r="E8" s="43">
        <f>T_CA_Tax[[#This Row],[Year 1968]]*$C$2</f>
        <v>2455.12383</v>
      </c>
      <c r="F8" s="43">
        <f>T_CA_Tax[[#This Row],[To]]-E7</f>
        <v>2316.0425249999998</v>
      </c>
      <c r="G8" s="44">
        <v>0.08</v>
      </c>
      <c r="H8" s="43">
        <f>T_CA_Tax[[#This Row],[Rate]]*T_CA_Tax[[#This Row],[Salary
bracket]]</f>
        <v>185.283402</v>
      </c>
      <c r="I8" s="43">
        <f>T_CA_Tax[[#This Row],[Tax payable]]+I7</f>
        <v>185.283402</v>
      </c>
      <c r="K8" s="76" t="s">
        <v>1</v>
      </c>
      <c r="L8" s="51">
        <f>'Contract Staff'!$AL$28</f>
        <v>0</v>
      </c>
      <c r="N8" s="76" t="s">
        <v>204</v>
      </c>
      <c r="O8" s="51">
        <f>ROUND(90%*$L$7,2)</f>
        <v>2105.71</v>
      </c>
      <c r="Q8" s="76" t="s">
        <v>204</v>
      </c>
      <c r="R8" s="51">
        <f>ROUND(90%*$L$7,2)</f>
        <v>2105.71</v>
      </c>
    </row>
    <row r="9" spans="2:19" ht="15" customHeight="1">
      <c r="B9" s="82">
        <v>3</v>
      </c>
      <c r="C9" s="55">
        <v>484.09</v>
      </c>
      <c r="D9" s="55">
        <f>E8+0.000001</f>
        <v>2455.1238309999999</v>
      </c>
      <c r="E9" s="55">
        <f>T_CA_Tax[[#This Row],[Year 1968]]*$C$2</f>
        <v>3381.6106949999999</v>
      </c>
      <c r="F9" s="55">
        <f>T_CA_Tax[[#This Row],[To]]-E8</f>
        <v>926.48686499999985</v>
      </c>
      <c r="G9" s="56">
        <v>0.1</v>
      </c>
      <c r="H9" s="55">
        <f>T_CA_Tax[[#This Row],[Rate]]*T_CA_Tax[[#This Row],[Salary
bracket]]</f>
        <v>92.648686499999997</v>
      </c>
      <c r="I9" s="55">
        <f>T_CA_Tax[[#This Row],[Tax payable]]+I8</f>
        <v>277.93208849999996</v>
      </c>
      <c r="K9" s="76" t="s">
        <v>0</v>
      </c>
      <c r="L9" s="51">
        <f>'Contract Staff'!$AL$29</f>
        <v>0</v>
      </c>
      <c r="N9" s="76" t="s">
        <v>203</v>
      </c>
      <c r="O9" s="51">
        <f>ROUND(SUM($L$12:$L$15),2)</f>
        <v>-311.42</v>
      </c>
      <c r="Q9" s="76" t="s">
        <v>203</v>
      </c>
      <c r="R9" s="51">
        <f>ROUND(SUM($L$12:$L$15),2)</f>
        <v>-311.42</v>
      </c>
    </row>
    <row r="10" spans="2:19" ht="15" customHeight="1">
      <c r="B10" s="81">
        <v>4</v>
      </c>
      <c r="C10" s="43">
        <v>554.79</v>
      </c>
      <c r="D10" s="43">
        <f t="shared" ref="D10:D21" si="0">E9+0.000001</f>
        <v>3381.6106959999997</v>
      </c>
      <c r="E10" s="43">
        <f>T_CA_Tax[[#This Row],[Year 1968]]*$C$2</f>
        <v>3875.4855449999995</v>
      </c>
      <c r="F10" s="43">
        <f>T_CA_Tax[[#This Row],[To]]-E9</f>
        <v>493.8748499999997</v>
      </c>
      <c r="G10" s="44">
        <v>0.125</v>
      </c>
      <c r="H10" s="43">
        <f>T_CA_Tax[[#This Row],[Rate]]*T_CA_Tax[[#This Row],[Salary
bracket]]</f>
        <v>61.734356249999962</v>
      </c>
      <c r="I10" s="43">
        <f>T_CA_Tax[[#This Row],[Tax payable]]+I9</f>
        <v>339.66644474999993</v>
      </c>
      <c r="K10" s="76" t="s">
        <v>71</v>
      </c>
      <c r="L10" s="51">
        <f>'Contract Staff'!$AL$30</f>
        <v>0</v>
      </c>
      <c r="N10" s="76" t="s">
        <v>205</v>
      </c>
      <c r="O10" s="51">
        <f>-ROUND(2*SUM($L$9),2)</f>
        <v>0</v>
      </c>
      <c r="Q10" s="76"/>
      <c r="R10" s="51"/>
    </row>
    <row r="11" spans="2:19" ht="15" customHeight="1">
      <c r="B11" s="82">
        <v>5</v>
      </c>
      <c r="C11" s="43">
        <v>629.97</v>
      </c>
      <c r="D11" s="43">
        <f t="shared" si="0"/>
        <v>3875.4855459999994</v>
      </c>
      <c r="E11" s="43">
        <f>T_CA_Tax[[#This Row],[Year 1968]]*$C$2</f>
        <v>4400.6554350000006</v>
      </c>
      <c r="F11" s="43">
        <f>T_CA_Tax[[#This Row],[To]]-E10</f>
        <v>525.16989000000103</v>
      </c>
      <c r="G11" s="44">
        <v>0.15</v>
      </c>
      <c r="H11" s="43">
        <f>T_CA_Tax[[#This Row],[Rate]]*T_CA_Tax[[#This Row],[Salary
bracket]]</f>
        <v>78.775483500000149</v>
      </c>
      <c r="I11" s="43">
        <f>T_CA_Tax[[#This Row],[Tax payable]]+I10</f>
        <v>418.44192825000005</v>
      </c>
      <c r="K11" s="77" t="s">
        <v>2</v>
      </c>
      <c r="L11" s="74">
        <f>'Contract Staff'!$AL$31</f>
        <v>0</v>
      </c>
      <c r="N11" s="45" t="s">
        <v>16</v>
      </c>
      <c r="O11" s="46">
        <f>IF(SUM($O$8:$O$10)&lt;0,0,SUM($O$8:$O$10))</f>
        <v>1794.29</v>
      </c>
      <c r="Q11" s="45" t="s">
        <v>16</v>
      </c>
      <c r="R11" s="46">
        <f>IF(SUM($R$8:$R$10)&lt;0,0,SUM($R$8:$R$10))</f>
        <v>1794.29</v>
      </c>
      <c r="S11" s="51"/>
    </row>
    <row r="12" spans="2:19" ht="15" customHeight="1">
      <c r="B12" s="81">
        <v>6</v>
      </c>
      <c r="C12" s="43">
        <v>700.67</v>
      </c>
      <c r="D12" s="43">
        <f t="shared" si="0"/>
        <v>4400.6554360000009</v>
      </c>
      <c r="E12" s="43">
        <f>T_CA_Tax[[#This Row],[Year 1968]]*$C$2</f>
        <v>4894.5302849999998</v>
      </c>
      <c r="F12" s="43">
        <f>T_CA_Tax[[#This Row],[To]]-E11</f>
        <v>493.87484999999924</v>
      </c>
      <c r="G12" s="44">
        <v>0.17499999999999999</v>
      </c>
      <c r="H12" s="43">
        <f>T_CA_Tax[[#This Row],[Rate]]*T_CA_Tax[[#This Row],[Salary
bracket]]</f>
        <v>86.428098749999862</v>
      </c>
      <c r="I12" s="43">
        <f>T_CA_Tax[[#This Row],[Tax payable]]+I11</f>
        <v>504.87002699999994</v>
      </c>
      <c r="K12" s="78" t="s">
        <v>10</v>
      </c>
      <c r="L12" s="43">
        <f>'Contract Staff'!$AL$34</f>
        <v>-2.33968</v>
      </c>
    </row>
    <row r="13" spans="2:19" ht="15" customHeight="1">
      <c r="B13" s="82">
        <v>7</v>
      </c>
      <c r="C13" s="43">
        <v>769.21</v>
      </c>
      <c r="D13" s="43">
        <f t="shared" si="0"/>
        <v>4894.5302860000002</v>
      </c>
      <c r="E13" s="43">
        <f>T_CA_Tax[[#This Row],[Year 1968]]*$C$2</f>
        <v>5373.3164550000001</v>
      </c>
      <c r="F13" s="43">
        <f>T_CA_Tax[[#This Row],[To]]-E12</f>
        <v>478.78617000000031</v>
      </c>
      <c r="G13" s="44">
        <v>0.2</v>
      </c>
      <c r="H13" s="43">
        <f>T_CA_Tax[[#This Row],[Rate]]*T_CA_Tax[[#This Row],[Salary
bracket]]</f>
        <v>95.757234000000068</v>
      </c>
      <c r="I13" s="43">
        <f>T_CA_Tax[[#This Row],[Tax payable]]+I12</f>
        <v>600.62726099999998</v>
      </c>
      <c r="K13" s="78" t="s">
        <v>11</v>
      </c>
      <c r="L13" s="43">
        <f>'Contract Staff'!$AL$35</f>
        <v>-39.774560000000001</v>
      </c>
      <c r="N13" s="54" t="s">
        <v>14</v>
      </c>
      <c r="O13" s="83"/>
      <c r="Q13" s="54" t="s">
        <v>14</v>
      </c>
      <c r="R13" s="83"/>
    </row>
    <row r="14" spans="2:19" ht="15" customHeight="1">
      <c r="B14" s="81">
        <v>8</v>
      </c>
      <c r="C14" s="43">
        <v>839.94</v>
      </c>
      <c r="D14" s="43">
        <f t="shared" si="0"/>
        <v>5373.3164560000005</v>
      </c>
      <c r="E14" s="43">
        <f>T_CA_Tax[[#This Row],[Year 1968]]*$C$2</f>
        <v>5867.4008700000004</v>
      </c>
      <c r="F14" s="43">
        <f>T_CA_Tax[[#This Row],[To]]-E13</f>
        <v>494.08441500000026</v>
      </c>
      <c r="G14" s="44">
        <v>0.22500000000000001</v>
      </c>
      <c r="H14" s="43">
        <f>T_CA_Tax[[#This Row],[Rate]]*T_CA_Tax[[#This Row],[Salary
bracket]]</f>
        <v>111.16899337500006</v>
      </c>
      <c r="I14" s="43">
        <f>T_CA_Tax[[#This Row],[Tax payable]]+I13</f>
        <v>711.79625437499999</v>
      </c>
      <c r="K14" s="78" t="s">
        <v>13</v>
      </c>
      <c r="L14" s="43">
        <f>'Contract Staff'!$AL$36</f>
        <v>-259.70447999999999</v>
      </c>
      <c r="N14" s="47" t="s">
        <v>206</v>
      </c>
      <c r="O14" s="35">
        <f>MATCH(O11,T_CA_Tax[From],1)</f>
        <v>2</v>
      </c>
      <c r="Q14" s="47" t="s">
        <v>206</v>
      </c>
      <c r="R14" s="35">
        <f>MATCH(R11,T_CA_Tax[From],1)</f>
        <v>2</v>
      </c>
    </row>
    <row r="15" spans="2:19" ht="15" customHeight="1">
      <c r="B15" s="82">
        <v>9</v>
      </c>
      <c r="C15" s="43">
        <v>908.48</v>
      </c>
      <c r="D15" s="43">
        <f t="shared" si="0"/>
        <v>5867.4008710000007</v>
      </c>
      <c r="E15" s="43">
        <f>T_CA_Tax[[#This Row],[Year 1968]]*$C$2</f>
        <v>6346.1870399999998</v>
      </c>
      <c r="F15" s="43">
        <f>T_CA_Tax[[#This Row],[To]]-E14</f>
        <v>478.7861699999994</v>
      </c>
      <c r="G15" s="44">
        <v>0.25</v>
      </c>
      <c r="H15" s="43">
        <f>T_CA_Tax[[#This Row],[Rate]]*T_CA_Tax[[#This Row],[Salary
bracket]]</f>
        <v>119.69654249999985</v>
      </c>
      <c r="I15" s="43">
        <f>T_CA_Tax[[#This Row],[Tax payable]]+I14</f>
        <v>831.49279687499984</v>
      </c>
      <c r="K15" s="79" t="s">
        <v>12</v>
      </c>
      <c r="L15" s="75">
        <f>'Contract Staff'!$AL$37</f>
        <v>-9.600362999999998</v>
      </c>
      <c r="N15" s="47" t="s">
        <v>207</v>
      </c>
      <c r="O15" s="51">
        <f>VLOOKUP(O14,T_CA_Tax[],MATCH(N15,T_CA_Tax[#Headers],0),FALSE)</f>
        <v>139.08130600000001</v>
      </c>
      <c r="Q15" s="47" t="s">
        <v>207</v>
      </c>
      <c r="R15" s="51">
        <f>VLOOKUP(R14,T_CA_Tax[],MATCH(Q15,T_CA_Tax[#Headers],0),FALSE)</f>
        <v>139.08130600000001</v>
      </c>
    </row>
    <row r="16" spans="2:19" ht="15" customHeight="1">
      <c r="B16" s="81">
        <v>10</v>
      </c>
      <c r="C16" s="43">
        <v>979.18</v>
      </c>
      <c r="D16" s="43">
        <f t="shared" si="0"/>
        <v>6346.1870410000001</v>
      </c>
      <c r="E16" s="43">
        <f>T_CA_Tax[[#This Row],[Year 1968]]*$C$2</f>
        <v>6840.0618899999999</v>
      </c>
      <c r="F16" s="43">
        <f>T_CA_Tax[[#This Row],[To]]-E15</f>
        <v>493.87485000000015</v>
      </c>
      <c r="G16" s="44">
        <v>0.27500000000000002</v>
      </c>
      <c r="H16" s="43">
        <f>T_CA_Tax[[#This Row],[Rate]]*T_CA_Tax[[#This Row],[Salary
bracket]]</f>
        <v>135.81558375000006</v>
      </c>
      <c r="I16" s="43">
        <f>T_CA_Tax[[#This Row],[Tax payable]]+I15</f>
        <v>967.30838062499993</v>
      </c>
      <c r="K16" s="76" t="s">
        <v>202</v>
      </c>
      <c r="L16" s="51">
        <f>-$L$3</f>
        <v>-3360.76</v>
      </c>
      <c r="N16" s="47" t="s">
        <v>208</v>
      </c>
      <c r="O16" s="51">
        <f>VLOOKUP(O14,T_CA_Tax[],MATCH(N16,T_CA_Tax[#Headers],0),FALSE)</f>
        <v>2455.12383</v>
      </c>
      <c r="Q16" s="47" t="s">
        <v>208</v>
      </c>
      <c r="R16" s="51">
        <f>VLOOKUP(R14,T_CA_Tax[],MATCH(Q16,T_CA_Tax[#Headers],0),FALSE)</f>
        <v>2455.12383</v>
      </c>
    </row>
    <row r="17" spans="2:19" ht="15" customHeight="1">
      <c r="B17" s="82">
        <v>11</v>
      </c>
      <c r="C17" s="43">
        <v>1047.72</v>
      </c>
      <c r="D17" s="43">
        <f t="shared" si="0"/>
        <v>6840.0618910000003</v>
      </c>
      <c r="E17" s="43">
        <f>T_CA_Tax[[#This Row],[Year 1968]]*$C$2</f>
        <v>7318.8480600000003</v>
      </c>
      <c r="F17" s="43">
        <f>T_CA_Tax[[#This Row],[To]]-E16</f>
        <v>478.78617000000031</v>
      </c>
      <c r="G17" s="44">
        <v>0.3</v>
      </c>
      <c r="H17" s="43">
        <f>T_CA_Tax[[#This Row],[Rate]]*T_CA_Tax[[#This Row],[Salary
bracket]]</f>
        <v>143.63585100000009</v>
      </c>
      <c r="I17" s="43">
        <f>T_CA_Tax[[#This Row],[Tax payable]]+I16</f>
        <v>1110.9442316249999</v>
      </c>
      <c r="K17" s="89" t="s">
        <v>201</v>
      </c>
      <c r="L17" s="90">
        <f>MAX(0,SUM(L7:L11)+SUM(L12:L15,L16))</f>
        <v>0</v>
      </c>
      <c r="N17" s="47" t="s">
        <v>5</v>
      </c>
      <c r="O17" s="50">
        <f>VLOOKUP(O14,T_CA_Tax[],MATCH(N17,T_CA_Tax[#Headers],0),FALSE)</f>
        <v>0.08</v>
      </c>
      <c r="Q17" s="47" t="s">
        <v>5</v>
      </c>
      <c r="R17" s="50">
        <f>VLOOKUP(R14,T_CA_Tax[],MATCH(Q17,T_CA_Tax[#Headers],0),FALSE)</f>
        <v>0.08</v>
      </c>
    </row>
    <row r="18" spans="2:19" ht="15" customHeight="1">
      <c r="B18" s="81">
        <v>12</v>
      </c>
      <c r="C18" s="43">
        <v>1118.45</v>
      </c>
      <c r="D18" s="43">
        <f t="shared" si="0"/>
        <v>7318.8480610000006</v>
      </c>
      <c r="E18" s="43">
        <f>T_CA_Tax[[#This Row],[Year 1968]]*$C$2</f>
        <v>7812.9324750000005</v>
      </c>
      <c r="F18" s="43">
        <f>T_CA_Tax[[#This Row],[To]]-E17</f>
        <v>494.08441500000026</v>
      </c>
      <c r="G18" s="44">
        <v>0.32500000000000001</v>
      </c>
      <c r="H18" s="43">
        <f>T_CA_Tax[[#This Row],[Rate]]*T_CA_Tax[[#This Row],[Salary
bracket]]</f>
        <v>160.57743487500008</v>
      </c>
      <c r="I18" s="43">
        <f>T_CA_Tax[[#This Row],[Tax payable]]+I17</f>
        <v>1271.5216665</v>
      </c>
      <c r="N18" s="47" t="s">
        <v>210</v>
      </c>
      <c r="O18" s="48">
        <f>(O11-O15)*O17</f>
        <v>132.41669551999999</v>
      </c>
      <c r="Q18" s="47" t="s">
        <v>210</v>
      </c>
      <c r="R18" s="51">
        <f>(R11-R15)*R17</f>
        <v>132.41669551999999</v>
      </c>
    </row>
    <row r="19" spans="2:19" ht="15" customHeight="1">
      <c r="B19" s="82">
        <v>13</v>
      </c>
      <c r="C19" s="43">
        <v>1186.99</v>
      </c>
      <c r="D19" s="43">
        <f t="shared" si="0"/>
        <v>7812.9324760000009</v>
      </c>
      <c r="E19" s="43">
        <f>T_CA_Tax[[#This Row],[Year 1968]]*$C$2</f>
        <v>8291.7186450000008</v>
      </c>
      <c r="F19" s="43">
        <f>T_CA_Tax[[#This Row],[To]]-E18</f>
        <v>478.78617000000031</v>
      </c>
      <c r="G19" s="44">
        <v>0.35</v>
      </c>
      <c r="H19" s="43">
        <f>T_CA_Tax[[#This Row],[Rate]]*T_CA_Tax[[#This Row],[Salary
bracket]]</f>
        <v>167.5751595000001</v>
      </c>
      <c r="I19" s="43">
        <f>T_CA_Tax[[#This Row],[Tax payable]]+I18</f>
        <v>1439.0968260000002</v>
      </c>
      <c r="N19" s="47" t="s">
        <v>209</v>
      </c>
      <c r="O19" s="51">
        <f>VLOOKUP(IF(O14-1&lt;=0,1,O14-1),T_CA_Tax[],MATCH(N19,T_CA_Tax[#Headers],0),FALSE)</f>
        <v>0</v>
      </c>
      <c r="Q19" s="47" t="s">
        <v>209</v>
      </c>
      <c r="R19" s="51">
        <f>VLOOKUP(IF(R14-1&lt;=0,1,R14-1),T_CA_Tax[],MATCH(Q19,T_CA_Tax[#Headers],0),FALSE)</f>
        <v>0</v>
      </c>
    </row>
    <row r="20" spans="2:19" ht="15" customHeight="1">
      <c r="B20" s="81">
        <v>14</v>
      </c>
      <c r="C20" s="43">
        <v>1257.69</v>
      </c>
      <c r="D20" s="43">
        <f t="shared" si="0"/>
        <v>8291.7186460000012</v>
      </c>
      <c r="E20" s="43">
        <f>T_CA_Tax[[#This Row],[Year 1968]]*$C$2</f>
        <v>8785.593495000001</v>
      </c>
      <c r="F20" s="43">
        <f>T_CA_Tax[[#This Row],[To]]-E19</f>
        <v>493.87485000000015</v>
      </c>
      <c r="G20" s="44">
        <v>0.4</v>
      </c>
      <c r="H20" s="43">
        <f>T_CA_Tax[[#This Row],[Rate]]*T_CA_Tax[[#This Row],[Salary
bracket]]</f>
        <v>197.54994000000008</v>
      </c>
      <c r="I20" s="43">
        <f>T_CA_Tax[[#This Row],[Tax payable]]+I19</f>
        <v>1636.6467660000003</v>
      </c>
      <c r="N20" s="45" t="s">
        <v>213</v>
      </c>
      <c r="O20" s="46">
        <f>+O19+O18</f>
        <v>132.41669551999999</v>
      </c>
      <c r="Q20" s="45" t="s">
        <v>213</v>
      </c>
      <c r="R20" s="46">
        <f>+R19+R18</f>
        <v>132.41669551999999</v>
      </c>
    </row>
    <row r="21" spans="2:19" ht="15" customHeight="1">
      <c r="B21" s="82">
        <v>15</v>
      </c>
      <c r="C21" s="43"/>
      <c r="D21" s="43">
        <f t="shared" si="0"/>
        <v>8785.5934960000013</v>
      </c>
      <c r="E21" s="43"/>
      <c r="F21" s="43"/>
      <c r="G21" s="44">
        <v>0.45</v>
      </c>
      <c r="H21" s="43"/>
      <c r="I21" s="43"/>
      <c r="Q21" s="76" t="s">
        <v>4</v>
      </c>
      <c r="R21" s="51">
        <f>$L$7</f>
        <v>2339.6799999999998</v>
      </c>
    </row>
    <row r="22" spans="2:19" ht="15" customHeight="1">
      <c r="B22" s="52"/>
      <c r="C22" s="52"/>
      <c r="D22" s="52"/>
      <c r="E22" s="52"/>
      <c r="F22" s="52"/>
      <c r="G22" s="52"/>
      <c r="N22" s="84" t="s">
        <v>211</v>
      </c>
      <c r="O22" s="85">
        <f>FLOOR(MIN(O20,L17),0.01)</f>
        <v>0</v>
      </c>
      <c r="Q22" s="76" t="s">
        <v>77</v>
      </c>
      <c r="R22" s="51">
        <f>SUM($L$12:$L$15)</f>
        <v>-311.419083</v>
      </c>
    </row>
    <row r="23" spans="2:19" ht="15" customHeight="1">
      <c r="Q23" s="76" t="s">
        <v>212</v>
      </c>
      <c r="R23" s="51">
        <f>-R20</f>
        <v>-132.41669551999999</v>
      </c>
    </row>
    <row r="24" spans="2:19" ht="15" customHeight="1">
      <c r="Q24" s="76" t="s">
        <v>202</v>
      </c>
      <c r="R24" s="51">
        <f>-$L$3</f>
        <v>-3360.76</v>
      </c>
    </row>
    <row r="25" spans="2:19" ht="15" customHeight="1">
      <c r="F25" s="52"/>
      <c r="Q25" s="76" t="s">
        <v>214</v>
      </c>
      <c r="R25" s="88">
        <f>'Contract Staff'!$AH$38</f>
        <v>0.06</v>
      </c>
    </row>
    <row r="26" spans="2:19" ht="15" customHeight="1">
      <c r="Q26" s="86" t="s">
        <v>215</v>
      </c>
      <c r="R26" s="87">
        <f>FLOOR(MAX(SUM(R21:R24)*R25,0),0.01)</f>
        <v>0</v>
      </c>
    </row>
    <row r="30" spans="2:19" ht="15" customHeight="1">
      <c r="B30" s="32"/>
      <c r="C30" s="33"/>
      <c r="S30" s="73"/>
    </row>
    <row r="32" spans="2:19" ht="15" customHeight="1">
      <c r="D32" s="49"/>
      <c r="G32" s="51"/>
    </row>
  </sheetData>
  <sheetProtection algorithmName="SHA-512" hashValue="V1opxZYh/DjS1SPJO9pDJRLGVe1MlsV1P1yAf0jzBf7WJQWIgw5tPZyrgRDeJveMk3U+3KGbNty39JBDddNL/g==" saltValue="YNE+rrfGdT95Rib7Jp8tSg==" spinCount="100000" sheet="1" objects="1" scenarios="1" selectLockedCells="1"/>
  <mergeCells count="2">
    <mergeCell ref="N6:O6"/>
    <mergeCell ref="Q6:R6"/>
  </mergeCells>
  <pageMargins left="0.7" right="0.7" top="0.75" bottom="0.75" header="0.3" footer="0.3"/>
  <pageSetup paperSize="9" orientation="portrait"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D479C-F4D8-428B-AD80-FC65A7466853}">
  <sheetPr codeName="Sheet6">
    <tabColor theme="0" tint="-0.249977111117893"/>
  </sheetPr>
  <dimension ref="B1:V117"/>
  <sheetViews>
    <sheetView showGridLines="0" topLeftCell="A52" zoomScale="90" zoomScaleNormal="90" workbookViewId="0"/>
  </sheetViews>
  <sheetFormatPr defaultRowHeight="15"/>
  <cols>
    <col min="1" max="1" width="5.140625" style="188" customWidth="1"/>
    <col min="2" max="16384" width="9.140625" style="188"/>
  </cols>
  <sheetData>
    <row r="1" spans="2:21" s="184" customFormat="1"/>
    <row r="2" spans="2:21" s="184" customFormat="1">
      <c r="B2" s="185" t="s">
        <v>268</v>
      </c>
      <c r="C2" s="186"/>
      <c r="D2" s="186"/>
      <c r="E2" s="186"/>
      <c r="F2" s="186"/>
      <c r="G2" s="186"/>
      <c r="H2" s="186"/>
      <c r="I2" s="186"/>
    </row>
    <row r="3" spans="2:21" s="184" customFormat="1"/>
    <row r="4" spans="2:21" s="184" customFormat="1">
      <c r="B4" s="406" t="s">
        <v>281</v>
      </c>
      <c r="C4" s="407"/>
      <c r="D4" s="407"/>
      <c r="E4" s="407"/>
      <c r="F4" s="407"/>
      <c r="G4" s="407"/>
      <c r="H4" s="407"/>
      <c r="I4" s="407"/>
      <c r="J4" s="407"/>
      <c r="K4" s="407"/>
      <c r="L4" s="407"/>
      <c r="M4" s="407"/>
      <c r="N4" s="407"/>
      <c r="O4" s="407"/>
      <c r="P4" s="407"/>
      <c r="Q4" s="407"/>
      <c r="R4" s="407"/>
      <c r="S4" s="407"/>
      <c r="T4" s="407"/>
      <c r="U4" s="408"/>
    </row>
    <row r="5" spans="2:21" s="184" customFormat="1">
      <c r="B5" s="406"/>
      <c r="C5" s="407"/>
      <c r="D5" s="407"/>
      <c r="E5" s="407"/>
      <c r="F5" s="407"/>
      <c r="G5" s="407"/>
      <c r="H5" s="407"/>
      <c r="I5" s="407"/>
      <c r="J5" s="407"/>
      <c r="K5" s="407"/>
      <c r="L5" s="407"/>
      <c r="M5" s="407"/>
      <c r="N5" s="407"/>
      <c r="O5" s="407"/>
      <c r="P5" s="407"/>
      <c r="Q5" s="407"/>
      <c r="R5" s="407"/>
      <c r="S5" s="407"/>
      <c r="T5" s="407"/>
      <c r="U5" s="408"/>
    </row>
    <row r="6" spans="2:21" s="184" customFormat="1">
      <c r="B6" s="409" t="s">
        <v>273</v>
      </c>
      <c r="C6" s="410"/>
      <c r="D6" s="410"/>
      <c r="E6" s="410"/>
      <c r="F6" s="410"/>
      <c r="G6" s="410"/>
      <c r="H6" s="410"/>
      <c r="I6" s="410"/>
      <c r="J6" s="410"/>
      <c r="K6" s="410"/>
      <c r="L6" s="410"/>
      <c r="M6" s="410"/>
      <c r="N6" s="410"/>
      <c r="O6" s="410"/>
      <c r="P6" s="410"/>
      <c r="Q6" s="410"/>
      <c r="R6" s="410"/>
      <c r="S6" s="410"/>
      <c r="T6" s="410"/>
      <c r="U6" s="411"/>
    </row>
    <row r="7" spans="2:21" s="184" customFormat="1">
      <c r="B7" s="412"/>
      <c r="C7" s="413"/>
      <c r="D7" s="413"/>
      <c r="E7" s="413"/>
      <c r="F7" s="413"/>
      <c r="G7" s="413"/>
      <c r="H7" s="413"/>
      <c r="I7" s="413"/>
      <c r="J7" s="413"/>
      <c r="K7" s="413"/>
      <c r="L7" s="413"/>
      <c r="M7" s="413"/>
      <c r="N7" s="413"/>
      <c r="O7" s="413"/>
      <c r="P7" s="413"/>
      <c r="Q7" s="413"/>
      <c r="R7" s="413"/>
      <c r="S7" s="413"/>
      <c r="T7" s="413"/>
      <c r="U7" s="414"/>
    </row>
    <row r="8" spans="2:21" s="184" customFormat="1">
      <c r="B8" s="412"/>
      <c r="C8" s="413"/>
      <c r="D8" s="413"/>
      <c r="E8" s="413"/>
      <c r="F8" s="413"/>
      <c r="G8" s="413"/>
      <c r="H8" s="413"/>
      <c r="I8" s="413"/>
      <c r="J8" s="413"/>
      <c r="K8" s="413"/>
      <c r="L8" s="413"/>
      <c r="M8" s="413"/>
      <c r="N8" s="413"/>
      <c r="O8" s="413"/>
      <c r="P8" s="413"/>
      <c r="Q8" s="413"/>
      <c r="R8" s="413"/>
      <c r="S8" s="413"/>
      <c r="T8" s="413"/>
      <c r="U8" s="414"/>
    </row>
    <row r="9" spans="2:21" s="184" customFormat="1">
      <c r="B9" s="412"/>
      <c r="C9" s="413"/>
      <c r="D9" s="413"/>
      <c r="E9" s="413"/>
      <c r="F9" s="413"/>
      <c r="G9" s="413"/>
      <c r="H9" s="413"/>
      <c r="I9" s="413"/>
      <c r="J9" s="413"/>
      <c r="K9" s="413"/>
      <c r="L9" s="413"/>
      <c r="M9" s="413"/>
      <c r="N9" s="413"/>
      <c r="O9" s="413"/>
      <c r="P9" s="413"/>
      <c r="Q9" s="413"/>
      <c r="R9" s="413"/>
      <c r="S9" s="413"/>
      <c r="T9" s="413"/>
      <c r="U9" s="414"/>
    </row>
    <row r="10" spans="2:21" s="184" customFormat="1">
      <c r="B10" s="412"/>
      <c r="C10" s="413"/>
      <c r="D10" s="413"/>
      <c r="E10" s="413"/>
      <c r="F10" s="413"/>
      <c r="G10" s="413"/>
      <c r="H10" s="413"/>
      <c r="I10" s="413"/>
      <c r="J10" s="413"/>
      <c r="K10" s="413"/>
      <c r="L10" s="413"/>
      <c r="M10" s="413"/>
      <c r="N10" s="413"/>
      <c r="O10" s="413"/>
      <c r="P10" s="413"/>
      <c r="Q10" s="413"/>
      <c r="R10" s="413"/>
      <c r="S10" s="413"/>
      <c r="T10" s="413"/>
      <c r="U10" s="414"/>
    </row>
    <row r="11" spans="2:21" s="184" customFormat="1">
      <c r="B11" s="412"/>
      <c r="C11" s="413"/>
      <c r="D11" s="413"/>
      <c r="E11" s="413"/>
      <c r="F11" s="413"/>
      <c r="G11" s="413"/>
      <c r="H11" s="413"/>
      <c r="I11" s="413"/>
      <c r="J11" s="413"/>
      <c r="K11" s="413"/>
      <c r="L11" s="413"/>
      <c r="M11" s="413"/>
      <c r="N11" s="413"/>
      <c r="O11" s="413"/>
      <c r="P11" s="413"/>
      <c r="Q11" s="413"/>
      <c r="R11" s="413"/>
      <c r="S11" s="413"/>
      <c r="T11" s="413"/>
      <c r="U11" s="414"/>
    </row>
    <row r="12" spans="2:21" s="184" customFormat="1">
      <c r="B12" s="412"/>
      <c r="C12" s="413"/>
      <c r="D12" s="413"/>
      <c r="E12" s="413"/>
      <c r="F12" s="413"/>
      <c r="G12" s="413"/>
      <c r="H12" s="413"/>
      <c r="I12" s="413"/>
      <c r="J12" s="413"/>
      <c r="K12" s="413"/>
      <c r="L12" s="413"/>
      <c r="M12" s="413"/>
      <c r="N12" s="413"/>
      <c r="O12" s="413"/>
      <c r="P12" s="413"/>
      <c r="Q12" s="413"/>
      <c r="R12" s="413"/>
      <c r="S12" s="413"/>
      <c r="T12" s="413"/>
      <c r="U12" s="414"/>
    </row>
    <row r="13" spans="2:21" s="184" customFormat="1">
      <c r="B13" s="412"/>
      <c r="C13" s="413"/>
      <c r="D13" s="413"/>
      <c r="E13" s="413"/>
      <c r="F13" s="413"/>
      <c r="G13" s="413"/>
      <c r="H13" s="413"/>
      <c r="I13" s="413"/>
      <c r="J13" s="413"/>
      <c r="K13" s="413"/>
      <c r="L13" s="413"/>
      <c r="M13" s="413"/>
      <c r="N13" s="413"/>
      <c r="O13" s="413"/>
      <c r="P13" s="413"/>
      <c r="Q13" s="413"/>
      <c r="R13" s="413"/>
      <c r="S13" s="413"/>
      <c r="T13" s="413"/>
      <c r="U13" s="414"/>
    </row>
    <row r="14" spans="2:21" s="184" customFormat="1">
      <c r="B14" s="412"/>
      <c r="C14" s="413"/>
      <c r="D14" s="413"/>
      <c r="E14" s="413"/>
      <c r="F14" s="413"/>
      <c r="G14" s="413"/>
      <c r="H14" s="413"/>
      <c r="I14" s="413"/>
      <c r="J14" s="413"/>
      <c r="K14" s="413"/>
      <c r="L14" s="413"/>
      <c r="M14" s="413"/>
      <c r="N14" s="413"/>
      <c r="O14" s="413"/>
      <c r="P14" s="413"/>
      <c r="Q14" s="413"/>
      <c r="R14" s="413"/>
      <c r="S14" s="413"/>
      <c r="T14" s="413"/>
      <c r="U14" s="414"/>
    </row>
    <row r="15" spans="2:21" s="184" customFormat="1">
      <c r="B15" s="412"/>
      <c r="C15" s="413"/>
      <c r="D15" s="413"/>
      <c r="E15" s="413"/>
      <c r="F15" s="413"/>
      <c r="G15" s="413"/>
      <c r="H15" s="413"/>
      <c r="I15" s="413"/>
      <c r="J15" s="413"/>
      <c r="K15" s="413"/>
      <c r="L15" s="413"/>
      <c r="M15" s="413"/>
      <c r="N15" s="413"/>
      <c r="O15" s="413"/>
      <c r="P15" s="413"/>
      <c r="Q15" s="413"/>
      <c r="R15" s="413"/>
      <c r="S15" s="413"/>
      <c r="T15" s="413"/>
      <c r="U15" s="414"/>
    </row>
    <row r="16" spans="2:21" s="184" customFormat="1">
      <c r="B16" s="412"/>
      <c r="C16" s="413"/>
      <c r="D16" s="413"/>
      <c r="E16" s="413"/>
      <c r="F16" s="413"/>
      <c r="G16" s="413"/>
      <c r="H16" s="413"/>
      <c r="I16" s="413"/>
      <c r="J16" s="413"/>
      <c r="K16" s="413"/>
      <c r="L16" s="413"/>
      <c r="M16" s="413"/>
      <c r="N16" s="413"/>
      <c r="O16" s="413"/>
      <c r="P16" s="413"/>
      <c r="Q16" s="413"/>
      <c r="R16" s="413"/>
      <c r="S16" s="413"/>
      <c r="T16" s="413"/>
      <c r="U16" s="414"/>
    </row>
    <row r="17" spans="2:22" s="184" customFormat="1">
      <c r="B17" s="412"/>
      <c r="C17" s="413"/>
      <c r="D17" s="413"/>
      <c r="E17" s="413"/>
      <c r="F17" s="413"/>
      <c r="G17" s="413"/>
      <c r="H17" s="413"/>
      <c r="I17" s="413"/>
      <c r="J17" s="413"/>
      <c r="K17" s="413"/>
      <c r="L17" s="413"/>
      <c r="M17" s="413"/>
      <c r="N17" s="413"/>
      <c r="O17" s="413"/>
      <c r="P17" s="413"/>
      <c r="Q17" s="413"/>
      <c r="R17" s="413"/>
      <c r="S17" s="413"/>
      <c r="T17" s="413"/>
      <c r="U17" s="414"/>
    </row>
    <row r="18" spans="2:22" s="184" customFormat="1">
      <c r="B18" s="415"/>
      <c r="C18" s="416"/>
      <c r="D18" s="416"/>
      <c r="E18" s="416"/>
      <c r="F18" s="416"/>
      <c r="G18" s="416"/>
      <c r="H18" s="416"/>
      <c r="I18" s="416"/>
      <c r="J18" s="416"/>
      <c r="K18" s="416"/>
      <c r="L18" s="416"/>
      <c r="M18" s="416"/>
      <c r="N18" s="416"/>
      <c r="O18" s="416"/>
      <c r="P18" s="416"/>
      <c r="Q18" s="416"/>
      <c r="R18" s="416"/>
      <c r="S18" s="416"/>
      <c r="T18" s="416"/>
      <c r="U18" s="417"/>
    </row>
    <row r="19" spans="2:22" s="184" customFormat="1">
      <c r="B19" s="406" t="s">
        <v>260</v>
      </c>
      <c r="C19" s="407"/>
      <c r="D19" s="407"/>
      <c r="E19" s="407"/>
      <c r="F19" s="407"/>
      <c r="G19" s="407"/>
      <c r="H19" s="407"/>
      <c r="I19" s="407"/>
      <c r="J19" s="407"/>
      <c r="K19" s="407"/>
      <c r="L19" s="407"/>
      <c r="M19" s="407"/>
      <c r="N19" s="407"/>
      <c r="O19" s="407"/>
      <c r="P19" s="407"/>
      <c r="Q19" s="407"/>
      <c r="R19" s="407"/>
      <c r="S19" s="407"/>
      <c r="T19" s="407"/>
      <c r="U19" s="408"/>
      <c r="V19" s="187"/>
    </row>
    <row r="20" spans="2:22" s="184" customFormat="1">
      <c r="B20" s="406"/>
      <c r="C20" s="407"/>
      <c r="D20" s="407"/>
      <c r="E20" s="407"/>
      <c r="F20" s="407"/>
      <c r="G20" s="407"/>
      <c r="H20" s="407"/>
      <c r="I20" s="407"/>
      <c r="J20" s="407"/>
      <c r="K20" s="407"/>
      <c r="L20" s="407"/>
      <c r="M20" s="407"/>
      <c r="N20" s="407"/>
      <c r="O20" s="407"/>
      <c r="P20" s="407"/>
      <c r="Q20" s="407"/>
      <c r="R20" s="407"/>
      <c r="S20" s="407"/>
      <c r="T20" s="407"/>
      <c r="U20" s="408"/>
    </row>
    <row r="21" spans="2:22" s="184" customFormat="1">
      <c r="B21" s="406"/>
      <c r="C21" s="407"/>
      <c r="D21" s="407"/>
      <c r="E21" s="407"/>
      <c r="F21" s="407"/>
      <c r="G21" s="407"/>
      <c r="H21" s="407"/>
      <c r="I21" s="407"/>
      <c r="J21" s="407"/>
      <c r="K21" s="407"/>
      <c r="L21" s="407"/>
      <c r="M21" s="407"/>
      <c r="N21" s="407"/>
      <c r="O21" s="407"/>
      <c r="P21" s="407"/>
      <c r="Q21" s="407"/>
      <c r="R21" s="407"/>
      <c r="S21" s="407"/>
      <c r="T21" s="407"/>
      <c r="U21" s="408"/>
    </row>
    <row r="22" spans="2:22" s="184" customFormat="1">
      <c r="B22" s="406"/>
      <c r="C22" s="407"/>
      <c r="D22" s="407"/>
      <c r="E22" s="407"/>
      <c r="F22" s="407"/>
      <c r="G22" s="407"/>
      <c r="H22" s="407"/>
      <c r="I22" s="407"/>
      <c r="J22" s="407"/>
      <c r="K22" s="407"/>
      <c r="L22" s="407"/>
      <c r="M22" s="407"/>
      <c r="N22" s="407"/>
      <c r="O22" s="407"/>
      <c r="P22" s="407"/>
      <c r="Q22" s="407"/>
      <c r="R22" s="407"/>
      <c r="S22" s="407"/>
      <c r="T22" s="407"/>
      <c r="U22" s="408"/>
    </row>
    <row r="23" spans="2:22" s="184" customFormat="1">
      <c r="B23" s="406" t="s">
        <v>259</v>
      </c>
      <c r="C23" s="407"/>
      <c r="D23" s="407"/>
      <c r="E23" s="407"/>
      <c r="F23" s="407"/>
      <c r="G23" s="407"/>
      <c r="H23" s="407"/>
      <c r="I23" s="407"/>
      <c r="J23" s="407"/>
      <c r="K23" s="407"/>
      <c r="L23" s="407"/>
      <c r="M23" s="407"/>
      <c r="N23" s="407"/>
      <c r="O23" s="407"/>
      <c r="P23" s="407"/>
      <c r="Q23" s="407"/>
      <c r="R23" s="407"/>
      <c r="S23" s="407"/>
      <c r="T23" s="407"/>
      <c r="U23" s="408"/>
    </row>
    <row r="24" spans="2:22" s="184" customFormat="1">
      <c r="B24" s="406"/>
      <c r="C24" s="407"/>
      <c r="D24" s="407"/>
      <c r="E24" s="407"/>
      <c r="F24" s="407"/>
      <c r="G24" s="407"/>
      <c r="H24" s="407"/>
      <c r="I24" s="407"/>
      <c r="J24" s="407"/>
      <c r="K24" s="407"/>
      <c r="L24" s="407"/>
      <c r="M24" s="407"/>
      <c r="N24" s="407"/>
      <c r="O24" s="407"/>
      <c r="P24" s="407"/>
      <c r="Q24" s="407"/>
      <c r="R24" s="407"/>
      <c r="S24" s="407"/>
      <c r="T24" s="407"/>
      <c r="U24" s="408"/>
    </row>
    <row r="25" spans="2:22" s="184" customFormat="1">
      <c r="B25" s="406"/>
      <c r="C25" s="407"/>
      <c r="D25" s="407"/>
      <c r="E25" s="407"/>
      <c r="F25" s="407"/>
      <c r="G25" s="407"/>
      <c r="H25" s="407"/>
      <c r="I25" s="407"/>
      <c r="J25" s="407"/>
      <c r="K25" s="407"/>
      <c r="L25" s="407"/>
      <c r="M25" s="407"/>
      <c r="N25" s="407"/>
      <c r="O25" s="407"/>
      <c r="P25" s="407"/>
      <c r="Q25" s="407"/>
      <c r="R25" s="407"/>
      <c r="S25" s="407"/>
      <c r="T25" s="407"/>
      <c r="U25" s="408"/>
    </row>
    <row r="26" spans="2:22" s="184" customFormat="1">
      <c r="B26" s="406" t="s">
        <v>269</v>
      </c>
      <c r="C26" s="407"/>
      <c r="D26" s="407"/>
      <c r="E26" s="407"/>
      <c r="F26" s="407"/>
      <c r="G26" s="407"/>
      <c r="H26" s="407"/>
      <c r="I26" s="407"/>
      <c r="J26" s="407"/>
      <c r="K26" s="407"/>
      <c r="L26" s="407"/>
      <c r="M26" s="407"/>
      <c r="N26" s="407"/>
      <c r="O26" s="407"/>
      <c r="P26" s="407"/>
      <c r="Q26" s="407"/>
      <c r="R26" s="407"/>
      <c r="S26" s="407"/>
      <c r="T26" s="407"/>
      <c r="U26" s="408"/>
    </row>
    <row r="27" spans="2:22" s="184" customFormat="1">
      <c r="B27" s="406"/>
      <c r="C27" s="407"/>
      <c r="D27" s="407"/>
      <c r="E27" s="407"/>
      <c r="F27" s="407"/>
      <c r="G27" s="407"/>
      <c r="H27" s="407"/>
      <c r="I27" s="407"/>
      <c r="J27" s="407"/>
      <c r="K27" s="407"/>
      <c r="L27" s="407"/>
      <c r="M27" s="407"/>
      <c r="N27" s="407"/>
      <c r="O27" s="407"/>
      <c r="P27" s="407"/>
      <c r="Q27" s="407"/>
      <c r="R27" s="407"/>
      <c r="S27" s="407"/>
      <c r="T27" s="407"/>
      <c r="U27" s="408"/>
    </row>
    <row r="28" spans="2:22" s="184" customFormat="1">
      <c r="B28" s="406"/>
      <c r="C28" s="407"/>
      <c r="D28" s="407"/>
      <c r="E28" s="407"/>
      <c r="F28" s="407"/>
      <c r="G28" s="407"/>
      <c r="H28" s="407"/>
      <c r="I28" s="407"/>
      <c r="J28" s="407"/>
      <c r="K28" s="407"/>
      <c r="L28" s="407"/>
      <c r="M28" s="407"/>
      <c r="N28" s="407"/>
      <c r="O28" s="407"/>
      <c r="P28" s="407"/>
      <c r="Q28" s="407"/>
      <c r="R28" s="407"/>
      <c r="S28" s="407"/>
      <c r="T28" s="407"/>
      <c r="U28" s="408"/>
    </row>
    <row r="29" spans="2:22" s="184" customFormat="1">
      <c r="B29" s="406"/>
      <c r="C29" s="407"/>
      <c r="D29" s="407"/>
      <c r="E29" s="407"/>
      <c r="F29" s="407"/>
      <c r="G29" s="407"/>
      <c r="H29" s="407"/>
      <c r="I29" s="407"/>
      <c r="J29" s="407"/>
      <c r="K29" s="407"/>
      <c r="L29" s="407"/>
      <c r="M29" s="407"/>
      <c r="N29" s="407"/>
      <c r="O29" s="407"/>
      <c r="P29" s="407"/>
      <c r="Q29" s="407"/>
      <c r="R29" s="407"/>
      <c r="S29" s="407"/>
      <c r="T29" s="407"/>
      <c r="U29" s="408"/>
    </row>
    <row r="30" spans="2:22" s="184" customFormat="1">
      <c r="B30" s="406"/>
      <c r="C30" s="407"/>
      <c r="D30" s="407"/>
      <c r="E30" s="407"/>
      <c r="F30" s="407"/>
      <c r="G30" s="407"/>
      <c r="H30" s="407"/>
      <c r="I30" s="407"/>
      <c r="J30" s="407"/>
      <c r="K30" s="407"/>
      <c r="L30" s="407"/>
      <c r="M30" s="407"/>
      <c r="N30" s="407"/>
      <c r="O30" s="407"/>
      <c r="P30" s="407"/>
      <c r="Q30" s="407"/>
      <c r="R30" s="407"/>
      <c r="S30" s="407"/>
      <c r="T30" s="407"/>
      <c r="U30" s="408"/>
    </row>
    <row r="31" spans="2:22" s="184" customFormat="1">
      <c r="B31" s="406"/>
      <c r="C31" s="407"/>
      <c r="D31" s="407"/>
      <c r="E31" s="407"/>
      <c r="F31" s="407"/>
      <c r="G31" s="407"/>
      <c r="H31" s="407"/>
      <c r="I31" s="407"/>
      <c r="J31" s="407"/>
      <c r="K31" s="407"/>
      <c r="L31" s="407"/>
      <c r="M31" s="407"/>
      <c r="N31" s="407"/>
      <c r="O31" s="407"/>
      <c r="P31" s="407"/>
      <c r="Q31" s="407"/>
      <c r="R31" s="407"/>
      <c r="S31" s="407"/>
      <c r="T31" s="407"/>
      <c r="U31" s="408"/>
    </row>
    <row r="32" spans="2:22" s="184" customFormat="1">
      <c r="B32" s="406"/>
      <c r="C32" s="407"/>
      <c r="D32" s="407"/>
      <c r="E32" s="407"/>
      <c r="F32" s="407"/>
      <c r="G32" s="407"/>
      <c r="H32" s="407"/>
      <c r="I32" s="407"/>
      <c r="J32" s="407"/>
      <c r="K32" s="407"/>
      <c r="L32" s="407"/>
      <c r="M32" s="407"/>
      <c r="N32" s="407"/>
      <c r="O32" s="407"/>
      <c r="P32" s="407"/>
      <c r="Q32" s="407"/>
      <c r="R32" s="407"/>
      <c r="S32" s="407"/>
      <c r="T32" s="407"/>
      <c r="U32" s="408"/>
    </row>
    <row r="33" spans="2:21" s="184" customFormat="1">
      <c r="B33" s="406"/>
      <c r="C33" s="407"/>
      <c r="D33" s="407"/>
      <c r="E33" s="407"/>
      <c r="F33" s="407"/>
      <c r="G33" s="407"/>
      <c r="H33" s="407"/>
      <c r="I33" s="407"/>
      <c r="J33" s="407"/>
      <c r="K33" s="407"/>
      <c r="L33" s="407"/>
      <c r="M33" s="407"/>
      <c r="N33" s="407"/>
      <c r="O33" s="407"/>
      <c r="P33" s="407"/>
      <c r="Q33" s="407"/>
      <c r="R33" s="407"/>
      <c r="S33" s="407"/>
      <c r="T33" s="407"/>
      <c r="U33" s="408"/>
    </row>
    <row r="34" spans="2:21" s="184" customFormat="1">
      <c r="B34" s="406"/>
      <c r="C34" s="407"/>
      <c r="D34" s="407"/>
      <c r="E34" s="407"/>
      <c r="F34" s="407"/>
      <c r="G34" s="407"/>
      <c r="H34" s="407"/>
      <c r="I34" s="407"/>
      <c r="J34" s="407"/>
      <c r="K34" s="407"/>
      <c r="L34" s="407"/>
      <c r="M34" s="407"/>
      <c r="N34" s="407"/>
      <c r="O34" s="407"/>
      <c r="P34" s="407"/>
      <c r="Q34" s="407"/>
      <c r="R34" s="407"/>
      <c r="S34" s="407"/>
      <c r="T34" s="407"/>
      <c r="U34" s="408"/>
    </row>
    <row r="35" spans="2:21" s="184" customFormat="1"/>
    <row r="36" spans="2:21" s="184" customFormat="1"/>
    <row r="37" spans="2:21" s="184" customFormat="1"/>
    <row r="38" spans="2:21" s="184" customFormat="1">
      <c r="B38" s="185" t="s">
        <v>267</v>
      </c>
      <c r="C38" s="186"/>
      <c r="D38" s="186"/>
      <c r="E38" s="186"/>
      <c r="F38" s="186"/>
      <c r="G38" s="186"/>
      <c r="H38" s="186"/>
      <c r="I38" s="186"/>
    </row>
    <row r="39" spans="2:21" s="184" customFormat="1"/>
    <row r="40" spans="2:21" s="184" customFormat="1">
      <c r="B40" s="418" t="s">
        <v>282</v>
      </c>
      <c r="C40" s="419"/>
      <c r="D40" s="419"/>
      <c r="E40" s="419"/>
      <c r="F40" s="419"/>
      <c r="G40" s="419"/>
      <c r="H40" s="419"/>
      <c r="I40" s="419"/>
      <c r="J40" s="419"/>
      <c r="K40" s="419"/>
      <c r="L40" s="419"/>
      <c r="M40" s="419"/>
      <c r="N40" s="419"/>
      <c r="O40" s="419"/>
      <c r="P40" s="419"/>
      <c r="Q40" s="419"/>
      <c r="R40" s="419"/>
      <c r="S40" s="419"/>
      <c r="T40" s="419"/>
      <c r="U40" s="420"/>
    </row>
    <row r="41" spans="2:21" s="184" customFormat="1">
      <c r="B41" s="418"/>
      <c r="C41" s="419"/>
      <c r="D41" s="419"/>
      <c r="E41" s="419"/>
      <c r="F41" s="419"/>
      <c r="G41" s="419"/>
      <c r="H41" s="419"/>
      <c r="I41" s="419"/>
      <c r="J41" s="419"/>
      <c r="K41" s="419"/>
      <c r="L41" s="419"/>
      <c r="M41" s="419"/>
      <c r="N41" s="419"/>
      <c r="O41" s="419"/>
      <c r="P41" s="419"/>
      <c r="Q41" s="419"/>
      <c r="R41" s="419"/>
      <c r="S41" s="419"/>
      <c r="T41" s="419"/>
      <c r="U41" s="420"/>
    </row>
    <row r="42" spans="2:21" s="184" customFormat="1">
      <c r="B42" s="406" t="s">
        <v>261</v>
      </c>
      <c r="C42" s="407"/>
      <c r="D42" s="407"/>
      <c r="E42" s="407"/>
      <c r="F42" s="407"/>
      <c r="G42" s="407"/>
      <c r="H42" s="407"/>
      <c r="I42" s="407"/>
      <c r="J42" s="407"/>
      <c r="K42" s="407"/>
      <c r="L42" s="407"/>
      <c r="M42" s="407"/>
      <c r="N42" s="407"/>
      <c r="O42" s="407"/>
      <c r="P42" s="407"/>
      <c r="Q42" s="407"/>
      <c r="R42" s="407"/>
      <c r="S42" s="407"/>
      <c r="T42" s="407"/>
      <c r="U42" s="408"/>
    </row>
    <row r="43" spans="2:21" s="184" customFormat="1">
      <c r="B43" s="406"/>
      <c r="C43" s="407"/>
      <c r="D43" s="407"/>
      <c r="E43" s="407"/>
      <c r="F43" s="407"/>
      <c r="G43" s="407"/>
      <c r="H43" s="407"/>
      <c r="I43" s="407"/>
      <c r="J43" s="407"/>
      <c r="K43" s="407"/>
      <c r="L43" s="407"/>
      <c r="M43" s="407"/>
      <c r="N43" s="407"/>
      <c r="O43" s="407"/>
      <c r="P43" s="407"/>
      <c r="Q43" s="407"/>
      <c r="R43" s="407"/>
      <c r="S43" s="407"/>
      <c r="T43" s="407"/>
      <c r="U43" s="408"/>
    </row>
    <row r="44" spans="2:21" s="184" customFormat="1">
      <c r="B44" s="406"/>
      <c r="C44" s="407"/>
      <c r="D44" s="407"/>
      <c r="E44" s="407"/>
      <c r="F44" s="407"/>
      <c r="G44" s="407"/>
      <c r="H44" s="407"/>
      <c r="I44" s="407"/>
      <c r="J44" s="407"/>
      <c r="K44" s="407"/>
      <c r="L44" s="407"/>
      <c r="M44" s="407"/>
      <c r="N44" s="407"/>
      <c r="O44" s="407"/>
      <c r="P44" s="407"/>
      <c r="Q44" s="407"/>
      <c r="R44" s="407"/>
      <c r="S44" s="407"/>
      <c r="T44" s="407"/>
      <c r="U44" s="408"/>
    </row>
    <row r="45" spans="2:21" s="184" customFormat="1">
      <c r="B45" s="406"/>
      <c r="C45" s="407"/>
      <c r="D45" s="407"/>
      <c r="E45" s="407"/>
      <c r="F45" s="407"/>
      <c r="G45" s="407"/>
      <c r="H45" s="407"/>
      <c r="I45" s="407"/>
      <c r="J45" s="407"/>
      <c r="K45" s="407"/>
      <c r="L45" s="407"/>
      <c r="M45" s="407"/>
      <c r="N45" s="407"/>
      <c r="O45" s="407"/>
      <c r="P45" s="407"/>
      <c r="Q45" s="407"/>
      <c r="R45" s="407"/>
      <c r="S45" s="407"/>
      <c r="T45" s="407"/>
      <c r="U45" s="408"/>
    </row>
    <row r="46" spans="2:21" s="184" customFormat="1">
      <c r="B46" s="406"/>
      <c r="C46" s="407"/>
      <c r="D46" s="407"/>
      <c r="E46" s="407"/>
      <c r="F46" s="407"/>
      <c r="G46" s="407"/>
      <c r="H46" s="407"/>
      <c r="I46" s="407"/>
      <c r="J46" s="407"/>
      <c r="K46" s="407"/>
      <c r="L46" s="407"/>
      <c r="M46" s="407"/>
      <c r="N46" s="407"/>
      <c r="O46" s="407"/>
      <c r="P46" s="407"/>
      <c r="Q46" s="407"/>
      <c r="R46" s="407"/>
      <c r="S46" s="407"/>
      <c r="T46" s="407"/>
      <c r="U46" s="408"/>
    </row>
    <row r="47" spans="2:21" s="184" customFormat="1">
      <c r="B47" s="406" t="s">
        <v>262</v>
      </c>
      <c r="C47" s="407"/>
      <c r="D47" s="407"/>
      <c r="E47" s="407"/>
      <c r="F47" s="407"/>
      <c r="G47" s="407"/>
      <c r="H47" s="407"/>
      <c r="I47" s="407"/>
      <c r="J47" s="407"/>
      <c r="K47" s="407"/>
      <c r="L47" s="407"/>
      <c r="M47" s="407"/>
      <c r="N47" s="407"/>
      <c r="O47" s="407"/>
      <c r="P47" s="407"/>
      <c r="Q47" s="407"/>
      <c r="R47" s="407"/>
      <c r="S47" s="407"/>
      <c r="T47" s="407"/>
      <c r="U47" s="408"/>
    </row>
    <row r="48" spans="2:21" s="184" customFormat="1">
      <c r="B48" s="406"/>
      <c r="C48" s="407"/>
      <c r="D48" s="407"/>
      <c r="E48" s="407"/>
      <c r="F48" s="407"/>
      <c r="G48" s="407"/>
      <c r="H48" s="407"/>
      <c r="I48" s="407"/>
      <c r="J48" s="407"/>
      <c r="K48" s="407"/>
      <c r="L48" s="407"/>
      <c r="M48" s="407"/>
      <c r="N48" s="407"/>
      <c r="O48" s="407"/>
      <c r="P48" s="407"/>
      <c r="Q48" s="407"/>
      <c r="R48" s="407"/>
      <c r="S48" s="407"/>
      <c r="T48" s="407"/>
      <c r="U48" s="408"/>
    </row>
    <row r="49" spans="2:21" s="184" customFormat="1">
      <c r="B49" s="406"/>
      <c r="C49" s="407"/>
      <c r="D49" s="407"/>
      <c r="E49" s="407"/>
      <c r="F49" s="407"/>
      <c r="G49" s="407"/>
      <c r="H49" s="407"/>
      <c r="I49" s="407"/>
      <c r="J49" s="407"/>
      <c r="K49" s="407"/>
      <c r="L49" s="407"/>
      <c r="M49" s="407"/>
      <c r="N49" s="407"/>
      <c r="O49" s="407"/>
      <c r="P49" s="407"/>
      <c r="Q49" s="407"/>
      <c r="R49" s="407"/>
      <c r="S49" s="407"/>
      <c r="T49" s="407"/>
      <c r="U49" s="408"/>
    </row>
    <row r="50" spans="2:21" s="184" customFormat="1">
      <c r="B50" s="406"/>
      <c r="C50" s="407"/>
      <c r="D50" s="407"/>
      <c r="E50" s="407"/>
      <c r="F50" s="407"/>
      <c r="G50" s="407"/>
      <c r="H50" s="407"/>
      <c r="I50" s="407"/>
      <c r="J50" s="407"/>
      <c r="K50" s="407"/>
      <c r="L50" s="407"/>
      <c r="M50" s="407"/>
      <c r="N50" s="407"/>
      <c r="O50" s="407"/>
      <c r="P50" s="407"/>
      <c r="Q50" s="407"/>
      <c r="R50" s="407"/>
      <c r="S50" s="407"/>
      <c r="T50" s="407"/>
      <c r="U50" s="408"/>
    </row>
    <row r="51" spans="2:21" s="184" customFormat="1">
      <c r="B51" s="406" t="s">
        <v>263</v>
      </c>
      <c r="C51" s="407"/>
      <c r="D51" s="407"/>
      <c r="E51" s="407"/>
      <c r="F51" s="407"/>
      <c r="G51" s="407"/>
      <c r="H51" s="407"/>
      <c r="I51" s="407"/>
      <c r="J51" s="407"/>
      <c r="K51" s="407"/>
      <c r="L51" s="407"/>
      <c r="M51" s="407"/>
      <c r="N51" s="407"/>
      <c r="O51" s="407"/>
      <c r="P51" s="407"/>
      <c r="Q51" s="407"/>
      <c r="R51" s="407"/>
      <c r="S51" s="407"/>
      <c r="T51" s="407"/>
      <c r="U51" s="408"/>
    </row>
    <row r="52" spans="2:21" s="184" customFormat="1">
      <c r="B52" s="406"/>
      <c r="C52" s="407"/>
      <c r="D52" s="407"/>
      <c r="E52" s="407"/>
      <c r="F52" s="407"/>
      <c r="G52" s="407"/>
      <c r="H52" s="407"/>
      <c r="I52" s="407"/>
      <c r="J52" s="407"/>
      <c r="K52" s="407"/>
      <c r="L52" s="407"/>
      <c r="M52" s="407"/>
      <c r="N52" s="407"/>
      <c r="O52" s="407"/>
      <c r="P52" s="407"/>
      <c r="Q52" s="407"/>
      <c r="R52" s="407"/>
      <c r="S52" s="407"/>
      <c r="T52" s="407"/>
      <c r="U52" s="408"/>
    </row>
    <row r="53" spans="2:21" s="184" customFormat="1">
      <c r="B53" s="406"/>
      <c r="C53" s="407"/>
      <c r="D53" s="407"/>
      <c r="E53" s="407"/>
      <c r="F53" s="407"/>
      <c r="G53" s="407"/>
      <c r="H53" s="407"/>
      <c r="I53" s="407"/>
      <c r="J53" s="407"/>
      <c r="K53" s="407"/>
      <c r="L53" s="407"/>
      <c r="M53" s="407"/>
      <c r="N53" s="407"/>
      <c r="O53" s="407"/>
      <c r="P53" s="407"/>
      <c r="Q53" s="407"/>
      <c r="R53" s="407"/>
      <c r="S53" s="407"/>
      <c r="T53" s="407"/>
      <c r="U53" s="408"/>
    </row>
    <row r="54" spans="2:21" s="184" customFormat="1">
      <c r="B54" s="406" t="s">
        <v>264</v>
      </c>
      <c r="C54" s="407"/>
      <c r="D54" s="407"/>
      <c r="E54" s="407"/>
      <c r="F54" s="407"/>
      <c r="G54" s="407"/>
      <c r="H54" s="407"/>
      <c r="I54" s="407"/>
      <c r="J54" s="407"/>
      <c r="K54" s="407"/>
      <c r="L54" s="407"/>
      <c r="M54" s="407"/>
      <c r="N54" s="407"/>
      <c r="O54" s="407"/>
      <c r="P54" s="407"/>
      <c r="Q54" s="407"/>
      <c r="R54" s="407"/>
      <c r="S54" s="407"/>
      <c r="T54" s="407"/>
      <c r="U54" s="408"/>
    </row>
    <row r="55" spans="2:21" s="184" customFormat="1">
      <c r="B55" s="406"/>
      <c r="C55" s="407"/>
      <c r="D55" s="407"/>
      <c r="E55" s="407"/>
      <c r="F55" s="407"/>
      <c r="G55" s="407"/>
      <c r="H55" s="407"/>
      <c r="I55" s="407"/>
      <c r="J55" s="407"/>
      <c r="K55" s="407"/>
      <c r="L55" s="407"/>
      <c r="M55" s="407"/>
      <c r="N55" s="407"/>
      <c r="O55" s="407"/>
      <c r="P55" s="407"/>
      <c r="Q55" s="407"/>
      <c r="R55" s="407"/>
      <c r="S55" s="407"/>
      <c r="T55" s="407"/>
      <c r="U55" s="408"/>
    </row>
    <row r="56" spans="2:21" s="184" customFormat="1">
      <c r="B56" s="406" t="s">
        <v>265</v>
      </c>
      <c r="C56" s="407"/>
      <c r="D56" s="407"/>
      <c r="E56" s="407"/>
      <c r="F56" s="407"/>
      <c r="G56" s="407"/>
      <c r="H56" s="407"/>
      <c r="I56" s="407"/>
      <c r="J56" s="407"/>
      <c r="K56" s="407"/>
      <c r="L56" s="407"/>
      <c r="M56" s="407"/>
      <c r="N56" s="407"/>
      <c r="O56" s="407"/>
      <c r="P56" s="407"/>
      <c r="Q56" s="407"/>
      <c r="R56" s="407"/>
      <c r="S56" s="407"/>
      <c r="T56" s="407"/>
      <c r="U56" s="408"/>
    </row>
    <row r="57" spans="2:21" s="184" customFormat="1">
      <c r="B57" s="406"/>
      <c r="C57" s="407"/>
      <c r="D57" s="407"/>
      <c r="E57" s="407"/>
      <c r="F57" s="407"/>
      <c r="G57" s="407"/>
      <c r="H57" s="407"/>
      <c r="I57" s="407"/>
      <c r="J57" s="407"/>
      <c r="K57" s="407"/>
      <c r="L57" s="407"/>
      <c r="M57" s="407"/>
      <c r="N57" s="407"/>
      <c r="O57" s="407"/>
      <c r="P57" s="407"/>
      <c r="Q57" s="407"/>
      <c r="R57" s="407"/>
      <c r="S57" s="407"/>
      <c r="T57" s="407"/>
      <c r="U57" s="408"/>
    </row>
    <row r="58" spans="2:21" s="184" customFormat="1">
      <c r="B58" s="406"/>
      <c r="C58" s="407"/>
      <c r="D58" s="407"/>
      <c r="E58" s="407"/>
      <c r="F58" s="407"/>
      <c r="G58" s="407"/>
      <c r="H58" s="407"/>
      <c r="I58" s="407"/>
      <c r="J58" s="407"/>
      <c r="K58" s="407"/>
      <c r="L58" s="407"/>
      <c r="M58" s="407"/>
      <c r="N58" s="407"/>
      <c r="O58" s="407"/>
      <c r="P58" s="407"/>
      <c r="Q58" s="407"/>
      <c r="R58" s="407"/>
      <c r="S58" s="407"/>
      <c r="T58" s="407"/>
      <c r="U58" s="408"/>
    </row>
    <row r="59" spans="2:21" s="184" customFormat="1">
      <c r="B59" s="406" t="s">
        <v>266</v>
      </c>
      <c r="C59" s="407"/>
      <c r="D59" s="407"/>
      <c r="E59" s="407"/>
      <c r="F59" s="407"/>
      <c r="G59" s="407"/>
      <c r="H59" s="407"/>
      <c r="I59" s="407"/>
      <c r="J59" s="407"/>
      <c r="K59" s="407"/>
      <c r="L59" s="407"/>
      <c r="M59" s="407"/>
      <c r="N59" s="407"/>
      <c r="O59" s="407"/>
      <c r="P59" s="407"/>
      <c r="Q59" s="407"/>
      <c r="R59" s="407"/>
      <c r="S59" s="407"/>
      <c r="T59" s="407"/>
      <c r="U59" s="408"/>
    </row>
    <row r="60" spans="2:21" s="184" customFormat="1">
      <c r="B60" s="406"/>
      <c r="C60" s="407"/>
      <c r="D60" s="407"/>
      <c r="E60" s="407"/>
      <c r="F60" s="407"/>
      <c r="G60" s="407"/>
      <c r="H60" s="407"/>
      <c r="I60" s="407"/>
      <c r="J60" s="407"/>
      <c r="K60" s="407"/>
      <c r="L60" s="407"/>
      <c r="M60" s="407"/>
      <c r="N60" s="407"/>
      <c r="O60" s="407"/>
      <c r="P60" s="407"/>
      <c r="Q60" s="407"/>
      <c r="R60" s="407"/>
      <c r="S60" s="407"/>
      <c r="T60" s="407"/>
      <c r="U60" s="408"/>
    </row>
    <row r="61" spans="2:21" s="184" customFormat="1">
      <c r="B61" s="406"/>
      <c r="C61" s="407"/>
      <c r="D61" s="407"/>
      <c r="E61" s="407"/>
      <c r="F61" s="407"/>
      <c r="G61" s="407"/>
      <c r="H61" s="407"/>
      <c r="I61" s="407"/>
      <c r="J61" s="407"/>
      <c r="K61" s="407"/>
      <c r="L61" s="407"/>
      <c r="M61" s="407"/>
      <c r="N61" s="407"/>
      <c r="O61" s="407"/>
      <c r="P61" s="407"/>
      <c r="Q61" s="407"/>
      <c r="R61" s="407"/>
      <c r="S61" s="407"/>
      <c r="T61" s="407"/>
      <c r="U61" s="408"/>
    </row>
    <row r="62" spans="2:21" s="184" customFormat="1"/>
    <row r="63" spans="2:21" s="184" customFormat="1"/>
    <row r="64" spans="2:21" s="184" customFormat="1"/>
    <row r="65" spans="2:21" s="184" customFormat="1">
      <c r="B65" s="185" t="s">
        <v>270</v>
      </c>
      <c r="C65" s="186"/>
      <c r="D65" s="186"/>
      <c r="E65" s="186"/>
      <c r="F65" s="186"/>
      <c r="G65" s="186"/>
      <c r="H65" s="186"/>
      <c r="I65" s="186"/>
    </row>
    <row r="66" spans="2:21" s="184" customFormat="1"/>
    <row r="67" spans="2:21" s="184" customFormat="1">
      <c r="B67" s="421" t="s">
        <v>283</v>
      </c>
      <c r="C67" s="422"/>
      <c r="D67" s="422"/>
      <c r="E67" s="422"/>
      <c r="F67" s="422"/>
      <c r="G67" s="422"/>
      <c r="H67" s="422"/>
      <c r="I67" s="422"/>
      <c r="J67" s="422"/>
      <c r="K67" s="422"/>
      <c r="L67" s="422"/>
      <c r="M67" s="422"/>
      <c r="N67" s="422"/>
      <c r="O67" s="422"/>
      <c r="P67" s="422"/>
      <c r="Q67" s="422"/>
      <c r="R67" s="422"/>
      <c r="S67" s="422"/>
      <c r="T67" s="422"/>
      <c r="U67" s="423"/>
    </row>
    <row r="68" spans="2:21" s="184" customFormat="1">
      <c r="B68" s="424"/>
      <c r="C68" s="413"/>
      <c r="D68" s="413"/>
      <c r="E68" s="413"/>
      <c r="F68" s="413"/>
      <c r="G68" s="413"/>
      <c r="H68" s="413"/>
      <c r="I68" s="413"/>
      <c r="J68" s="413"/>
      <c r="K68" s="413"/>
      <c r="L68" s="413"/>
      <c r="M68" s="413"/>
      <c r="N68" s="413"/>
      <c r="O68" s="413"/>
      <c r="P68" s="413"/>
      <c r="Q68" s="413"/>
      <c r="R68" s="413"/>
      <c r="S68" s="413"/>
      <c r="T68" s="413"/>
      <c r="U68" s="425"/>
    </row>
    <row r="69" spans="2:21" s="184" customFormat="1">
      <c r="B69" s="424"/>
      <c r="C69" s="413"/>
      <c r="D69" s="413"/>
      <c r="E69" s="413"/>
      <c r="F69" s="413"/>
      <c r="G69" s="413"/>
      <c r="H69" s="413"/>
      <c r="I69" s="413"/>
      <c r="J69" s="413"/>
      <c r="K69" s="413"/>
      <c r="L69" s="413"/>
      <c r="M69" s="413"/>
      <c r="N69" s="413"/>
      <c r="O69" s="413"/>
      <c r="P69" s="413"/>
      <c r="Q69" s="413"/>
      <c r="R69" s="413"/>
      <c r="S69" s="413"/>
      <c r="T69" s="413"/>
      <c r="U69" s="425"/>
    </row>
    <row r="70" spans="2:21" s="184" customFormat="1">
      <c r="B70" s="424"/>
      <c r="C70" s="413"/>
      <c r="D70" s="413"/>
      <c r="E70" s="413"/>
      <c r="F70" s="413"/>
      <c r="G70" s="413"/>
      <c r="H70" s="413"/>
      <c r="I70" s="413"/>
      <c r="J70" s="413"/>
      <c r="K70" s="413"/>
      <c r="L70" s="413"/>
      <c r="M70" s="413"/>
      <c r="N70" s="413"/>
      <c r="O70" s="413"/>
      <c r="P70" s="413"/>
      <c r="Q70" s="413"/>
      <c r="R70" s="413"/>
      <c r="S70" s="413"/>
      <c r="T70" s="413"/>
      <c r="U70" s="425"/>
    </row>
    <row r="71" spans="2:21" s="184" customFormat="1">
      <c r="B71" s="424"/>
      <c r="C71" s="413"/>
      <c r="D71" s="413"/>
      <c r="E71" s="413"/>
      <c r="F71" s="413"/>
      <c r="G71" s="413"/>
      <c r="H71" s="413"/>
      <c r="I71" s="413"/>
      <c r="J71" s="413"/>
      <c r="K71" s="413"/>
      <c r="L71" s="413"/>
      <c r="M71" s="413"/>
      <c r="N71" s="413"/>
      <c r="O71" s="413"/>
      <c r="P71" s="413"/>
      <c r="Q71" s="413"/>
      <c r="R71" s="413"/>
      <c r="S71" s="413"/>
      <c r="T71" s="413"/>
      <c r="U71" s="425"/>
    </row>
    <row r="72" spans="2:21" s="184" customFormat="1">
      <c r="B72" s="424"/>
      <c r="C72" s="413"/>
      <c r="D72" s="413"/>
      <c r="E72" s="413"/>
      <c r="F72" s="413"/>
      <c r="G72" s="413"/>
      <c r="H72" s="413"/>
      <c r="I72" s="413"/>
      <c r="J72" s="413"/>
      <c r="K72" s="413"/>
      <c r="L72" s="413"/>
      <c r="M72" s="413"/>
      <c r="N72" s="413"/>
      <c r="O72" s="413"/>
      <c r="P72" s="413"/>
      <c r="Q72" s="413"/>
      <c r="R72" s="413"/>
      <c r="S72" s="413"/>
      <c r="T72" s="413"/>
      <c r="U72" s="425"/>
    </row>
    <row r="73" spans="2:21" s="184" customFormat="1">
      <c r="B73" s="424"/>
      <c r="C73" s="413"/>
      <c r="D73" s="413"/>
      <c r="E73" s="413"/>
      <c r="F73" s="413"/>
      <c r="G73" s="413"/>
      <c r="H73" s="413"/>
      <c r="I73" s="413"/>
      <c r="J73" s="413"/>
      <c r="K73" s="413"/>
      <c r="L73" s="413"/>
      <c r="M73" s="413"/>
      <c r="N73" s="413"/>
      <c r="O73" s="413"/>
      <c r="P73" s="413"/>
      <c r="Q73" s="413"/>
      <c r="R73" s="413"/>
      <c r="S73" s="413"/>
      <c r="T73" s="413"/>
      <c r="U73" s="425"/>
    </row>
    <row r="74" spans="2:21" s="184" customFormat="1">
      <c r="B74" s="424"/>
      <c r="C74" s="413"/>
      <c r="D74" s="413"/>
      <c r="E74" s="413"/>
      <c r="F74" s="413"/>
      <c r="G74" s="413"/>
      <c r="H74" s="413"/>
      <c r="I74" s="413"/>
      <c r="J74" s="413"/>
      <c r="K74" s="413"/>
      <c r="L74" s="413"/>
      <c r="M74" s="413"/>
      <c r="N74" s="413"/>
      <c r="O74" s="413"/>
      <c r="P74" s="413"/>
      <c r="Q74" s="413"/>
      <c r="R74" s="413"/>
      <c r="S74" s="413"/>
      <c r="T74" s="413"/>
      <c r="U74" s="425"/>
    </row>
    <row r="75" spans="2:21" s="184" customFormat="1">
      <c r="B75" s="424" t="s">
        <v>271</v>
      </c>
      <c r="C75" s="413"/>
      <c r="D75" s="413"/>
      <c r="E75" s="413"/>
      <c r="F75" s="413"/>
      <c r="G75" s="413"/>
      <c r="H75" s="413"/>
      <c r="I75" s="413"/>
      <c r="J75" s="413"/>
      <c r="K75" s="413"/>
      <c r="L75" s="413"/>
      <c r="M75" s="413"/>
      <c r="N75" s="413"/>
      <c r="O75" s="413"/>
      <c r="P75" s="413"/>
      <c r="Q75" s="413"/>
      <c r="R75" s="413"/>
      <c r="S75" s="413"/>
      <c r="T75" s="413"/>
      <c r="U75" s="425"/>
    </row>
    <row r="76" spans="2:21" s="184" customFormat="1">
      <c r="B76" s="424"/>
      <c r="C76" s="413"/>
      <c r="D76" s="413"/>
      <c r="E76" s="413"/>
      <c r="F76" s="413"/>
      <c r="G76" s="413"/>
      <c r="H76" s="413"/>
      <c r="I76" s="413"/>
      <c r="J76" s="413"/>
      <c r="K76" s="413"/>
      <c r="L76" s="413"/>
      <c r="M76" s="413"/>
      <c r="N76" s="413"/>
      <c r="O76" s="413"/>
      <c r="P76" s="413"/>
      <c r="Q76" s="413"/>
      <c r="R76" s="413"/>
      <c r="S76" s="413"/>
      <c r="T76" s="413"/>
      <c r="U76" s="425"/>
    </row>
    <row r="77" spans="2:21" s="184" customFormat="1">
      <c r="B77" s="424"/>
      <c r="C77" s="413"/>
      <c r="D77" s="413"/>
      <c r="E77" s="413"/>
      <c r="F77" s="413"/>
      <c r="G77" s="413"/>
      <c r="H77" s="413"/>
      <c r="I77" s="413"/>
      <c r="J77" s="413"/>
      <c r="K77" s="413"/>
      <c r="L77" s="413"/>
      <c r="M77" s="413"/>
      <c r="N77" s="413"/>
      <c r="O77" s="413"/>
      <c r="P77" s="413"/>
      <c r="Q77" s="413"/>
      <c r="R77" s="413"/>
      <c r="S77" s="413"/>
      <c r="T77" s="413"/>
      <c r="U77" s="425"/>
    </row>
    <row r="78" spans="2:21" s="184" customFormat="1">
      <c r="B78" s="424"/>
      <c r="C78" s="413"/>
      <c r="D78" s="413"/>
      <c r="E78" s="413"/>
      <c r="F78" s="413"/>
      <c r="G78" s="413"/>
      <c r="H78" s="413"/>
      <c r="I78" s="413"/>
      <c r="J78" s="413"/>
      <c r="K78" s="413"/>
      <c r="L78" s="413"/>
      <c r="M78" s="413"/>
      <c r="N78" s="413"/>
      <c r="O78" s="413"/>
      <c r="P78" s="413"/>
      <c r="Q78" s="413"/>
      <c r="R78" s="413"/>
      <c r="S78" s="413"/>
      <c r="T78" s="413"/>
      <c r="U78" s="425"/>
    </row>
    <row r="79" spans="2:21" s="184" customFormat="1">
      <c r="B79" s="424"/>
      <c r="C79" s="413"/>
      <c r="D79" s="413"/>
      <c r="E79" s="413"/>
      <c r="F79" s="413"/>
      <c r="G79" s="413"/>
      <c r="H79" s="413"/>
      <c r="I79" s="413"/>
      <c r="J79" s="413"/>
      <c r="K79" s="413"/>
      <c r="L79" s="413"/>
      <c r="M79" s="413"/>
      <c r="N79" s="413"/>
      <c r="O79" s="413"/>
      <c r="P79" s="413"/>
      <c r="Q79" s="413"/>
      <c r="R79" s="413"/>
      <c r="S79" s="413"/>
      <c r="T79" s="413"/>
      <c r="U79" s="425"/>
    </row>
    <row r="80" spans="2:21" s="184" customFormat="1">
      <c r="B80" s="424"/>
      <c r="C80" s="413"/>
      <c r="D80" s="413"/>
      <c r="E80" s="413"/>
      <c r="F80" s="413"/>
      <c r="G80" s="413"/>
      <c r="H80" s="413"/>
      <c r="I80" s="413"/>
      <c r="J80" s="413"/>
      <c r="K80" s="413"/>
      <c r="L80" s="413"/>
      <c r="M80" s="413"/>
      <c r="N80" s="413"/>
      <c r="O80" s="413"/>
      <c r="P80" s="413"/>
      <c r="Q80" s="413"/>
      <c r="R80" s="413"/>
      <c r="S80" s="413"/>
      <c r="T80" s="413"/>
      <c r="U80" s="425"/>
    </row>
    <row r="81" spans="2:21" s="184" customFormat="1">
      <c r="B81" s="424"/>
      <c r="C81" s="413"/>
      <c r="D81" s="413"/>
      <c r="E81" s="413"/>
      <c r="F81" s="413"/>
      <c r="G81" s="413"/>
      <c r="H81" s="413"/>
      <c r="I81" s="413"/>
      <c r="J81" s="413"/>
      <c r="K81" s="413"/>
      <c r="L81" s="413"/>
      <c r="M81" s="413"/>
      <c r="N81" s="413"/>
      <c r="O81" s="413"/>
      <c r="P81" s="413"/>
      <c r="Q81" s="413"/>
      <c r="R81" s="413"/>
      <c r="S81" s="413"/>
      <c r="T81" s="413"/>
      <c r="U81" s="425"/>
    </row>
    <row r="82" spans="2:21" s="184" customFormat="1">
      <c r="B82" s="424"/>
      <c r="C82" s="413"/>
      <c r="D82" s="413"/>
      <c r="E82" s="413"/>
      <c r="F82" s="413"/>
      <c r="G82" s="413"/>
      <c r="H82" s="413"/>
      <c r="I82" s="413"/>
      <c r="J82" s="413"/>
      <c r="K82" s="413"/>
      <c r="L82" s="413"/>
      <c r="M82" s="413"/>
      <c r="N82" s="413"/>
      <c r="O82" s="413"/>
      <c r="P82" s="413"/>
      <c r="Q82" s="413"/>
      <c r="R82" s="413"/>
      <c r="S82" s="413"/>
      <c r="T82" s="413"/>
      <c r="U82" s="425"/>
    </row>
    <row r="83" spans="2:21" s="184" customFormat="1">
      <c r="B83" s="424"/>
      <c r="C83" s="413"/>
      <c r="D83" s="413"/>
      <c r="E83" s="413"/>
      <c r="F83" s="413"/>
      <c r="G83" s="413"/>
      <c r="H83" s="413"/>
      <c r="I83" s="413"/>
      <c r="J83" s="413"/>
      <c r="K83" s="413"/>
      <c r="L83" s="413"/>
      <c r="M83" s="413"/>
      <c r="N83" s="413"/>
      <c r="O83" s="413"/>
      <c r="P83" s="413"/>
      <c r="Q83" s="413"/>
      <c r="R83" s="413"/>
      <c r="S83" s="413"/>
      <c r="T83" s="413"/>
      <c r="U83" s="425"/>
    </row>
    <row r="84" spans="2:21" s="184" customFormat="1">
      <c r="B84" s="424"/>
      <c r="C84" s="413"/>
      <c r="D84" s="413"/>
      <c r="E84" s="413"/>
      <c r="F84" s="413"/>
      <c r="G84" s="413"/>
      <c r="H84" s="413"/>
      <c r="I84" s="413"/>
      <c r="J84" s="413"/>
      <c r="K84" s="413"/>
      <c r="L84" s="413"/>
      <c r="M84" s="413"/>
      <c r="N84" s="413"/>
      <c r="O84" s="413"/>
      <c r="P84" s="413"/>
      <c r="Q84" s="413"/>
      <c r="R84" s="413"/>
      <c r="S84" s="413"/>
      <c r="T84" s="413"/>
      <c r="U84" s="425"/>
    </row>
    <row r="85" spans="2:21" s="184" customFormat="1">
      <c r="B85" s="424"/>
      <c r="C85" s="413"/>
      <c r="D85" s="413"/>
      <c r="E85" s="413"/>
      <c r="F85" s="413"/>
      <c r="G85" s="413"/>
      <c r="H85" s="413"/>
      <c r="I85" s="413"/>
      <c r="J85" s="413"/>
      <c r="K85" s="413"/>
      <c r="L85" s="413"/>
      <c r="M85" s="413"/>
      <c r="N85" s="413"/>
      <c r="O85" s="413"/>
      <c r="P85" s="413"/>
      <c r="Q85" s="413"/>
      <c r="R85" s="413"/>
      <c r="S85" s="413"/>
      <c r="T85" s="413"/>
      <c r="U85" s="425"/>
    </row>
    <row r="86" spans="2:21" s="184" customFormat="1">
      <c r="B86" s="424"/>
      <c r="C86" s="413"/>
      <c r="D86" s="413"/>
      <c r="E86" s="413"/>
      <c r="F86" s="413"/>
      <c r="G86" s="413"/>
      <c r="H86" s="413"/>
      <c r="I86" s="413"/>
      <c r="J86" s="413"/>
      <c r="K86" s="413"/>
      <c r="L86" s="413"/>
      <c r="M86" s="413"/>
      <c r="N86" s="413"/>
      <c r="O86" s="413"/>
      <c r="P86" s="413"/>
      <c r="Q86" s="413"/>
      <c r="R86" s="413"/>
      <c r="S86" s="413"/>
      <c r="T86" s="413"/>
      <c r="U86" s="425"/>
    </row>
    <row r="87" spans="2:21" s="184" customFormat="1">
      <c r="B87" s="424" t="s">
        <v>272</v>
      </c>
      <c r="C87" s="413"/>
      <c r="D87" s="413"/>
      <c r="E87" s="413"/>
      <c r="F87" s="413"/>
      <c r="G87" s="413"/>
      <c r="H87" s="413"/>
      <c r="I87" s="413"/>
      <c r="J87" s="413"/>
      <c r="K87" s="413"/>
      <c r="L87" s="413"/>
      <c r="M87" s="413"/>
      <c r="N87" s="413"/>
      <c r="O87" s="413"/>
      <c r="P87" s="413"/>
      <c r="Q87" s="413"/>
      <c r="R87" s="413"/>
      <c r="S87" s="413"/>
      <c r="T87" s="413"/>
      <c r="U87" s="425"/>
    </row>
    <row r="88" spans="2:21" s="184" customFormat="1">
      <c r="B88" s="424"/>
      <c r="C88" s="413"/>
      <c r="D88" s="413"/>
      <c r="E88" s="413"/>
      <c r="F88" s="413"/>
      <c r="G88" s="413"/>
      <c r="H88" s="413"/>
      <c r="I88" s="413"/>
      <c r="J88" s="413"/>
      <c r="K88" s="413"/>
      <c r="L88" s="413"/>
      <c r="M88" s="413"/>
      <c r="N88" s="413"/>
      <c r="O88" s="413"/>
      <c r="P88" s="413"/>
      <c r="Q88" s="413"/>
      <c r="R88" s="413"/>
      <c r="S88" s="413"/>
      <c r="T88" s="413"/>
      <c r="U88" s="425"/>
    </row>
    <row r="89" spans="2:21" s="184" customFormat="1">
      <c r="B89" s="424"/>
      <c r="C89" s="413"/>
      <c r="D89" s="413"/>
      <c r="E89" s="413"/>
      <c r="F89" s="413"/>
      <c r="G89" s="413"/>
      <c r="H89" s="413"/>
      <c r="I89" s="413"/>
      <c r="J89" s="413"/>
      <c r="K89" s="413"/>
      <c r="L89" s="413"/>
      <c r="M89" s="413"/>
      <c r="N89" s="413"/>
      <c r="O89" s="413"/>
      <c r="P89" s="413"/>
      <c r="Q89" s="413"/>
      <c r="R89" s="413"/>
      <c r="S89" s="413"/>
      <c r="T89" s="413"/>
      <c r="U89" s="425"/>
    </row>
    <row r="90" spans="2:21" s="184" customFormat="1">
      <c r="B90" s="426"/>
      <c r="C90" s="427"/>
      <c r="D90" s="427"/>
      <c r="E90" s="427"/>
      <c r="F90" s="427"/>
      <c r="G90" s="427"/>
      <c r="H90" s="427"/>
      <c r="I90" s="427"/>
      <c r="J90" s="427"/>
      <c r="K90" s="427"/>
      <c r="L90" s="427"/>
      <c r="M90" s="427"/>
      <c r="N90" s="427"/>
      <c r="O90" s="427"/>
      <c r="P90" s="427"/>
      <c r="Q90" s="427"/>
      <c r="R90" s="427"/>
      <c r="S90" s="427"/>
      <c r="T90" s="427"/>
      <c r="U90" s="428"/>
    </row>
    <row r="91" spans="2:21" s="184" customFormat="1">
      <c r="B91" s="421" t="s">
        <v>284</v>
      </c>
      <c r="C91" s="422"/>
      <c r="D91" s="422"/>
      <c r="E91" s="422"/>
      <c r="F91" s="422"/>
      <c r="G91" s="422"/>
      <c r="H91" s="422"/>
      <c r="I91" s="422"/>
      <c r="J91" s="422"/>
      <c r="K91" s="422"/>
      <c r="L91" s="422"/>
      <c r="M91" s="422"/>
      <c r="N91" s="422"/>
      <c r="O91" s="422"/>
      <c r="P91" s="422"/>
      <c r="Q91" s="422"/>
      <c r="R91" s="422"/>
      <c r="S91" s="422"/>
      <c r="T91" s="422"/>
      <c r="U91" s="423"/>
    </row>
    <row r="92" spans="2:21" s="184" customFormat="1">
      <c r="B92" s="424"/>
      <c r="C92" s="413"/>
      <c r="D92" s="413"/>
      <c r="E92" s="413"/>
      <c r="F92" s="413"/>
      <c r="G92" s="413"/>
      <c r="H92" s="413"/>
      <c r="I92" s="413"/>
      <c r="J92" s="413"/>
      <c r="K92" s="413"/>
      <c r="L92" s="413"/>
      <c r="M92" s="413"/>
      <c r="N92" s="413"/>
      <c r="O92" s="413"/>
      <c r="P92" s="413"/>
      <c r="Q92" s="413"/>
      <c r="R92" s="413"/>
      <c r="S92" s="413"/>
      <c r="T92" s="413"/>
      <c r="U92" s="425"/>
    </row>
    <row r="93" spans="2:21" s="184" customFormat="1">
      <c r="B93" s="424"/>
      <c r="C93" s="413"/>
      <c r="D93" s="413"/>
      <c r="E93" s="413"/>
      <c r="F93" s="413"/>
      <c r="G93" s="413"/>
      <c r="H93" s="413"/>
      <c r="I93" s="413"/>
      <c r="J93" s="413"/>
      <c r="K93" s="413"/>
      <c r="L93" s="413"/>
      <c r="M93" s="413"/>
      <c r="N93" s="413"/>
      <c r="O93" s="413"/>
      <c r="P93" s="413"/>
      <c r="Q93" s="413"/>
      <c r="R93" s="413"/>
      <c r="S93" s="413"/>
      <c r="T93" s="413"/>
      <c r="U93" s="425"/>
    </row>
    <row r="94" spans="2:21" s="184" customFormat="1">
      <c r="B94" s="426"/>
      <c r="C94" s="427"/>
      <c r="D94" s="427"/>
      <c r="E94" s="427"/>
      <c r="F94" s="427"/>
      <c r="G94" s="427"/>
      <c r="H94" s="427"/>
      <c r="I94" s="427"/>
      <c r="J94" s="427"/>
      <c r="K94" s="427"/>
      <c r="L94" s="427"/>
      <c r="M94" s="427"/>
      <c r="N94" s="427"/>
      <c r="O94" s="427"/>
      <c r="P94" s="427"/>
      <c r="Q94" s="427"/>
      <c r="R94" s="427"/>
      <c r="S94" s="427"/>
      <c r="T94" s="427"/>
      <c r="U94" s="428"/>
    </row>
    <row r="95" spans="2:21" s="184" customFormat="1"/>
    <row r="96" spans="2:21" s="184" customFormat="1"/>
    <row r="97" spans="2:21" s="184" customFormat="1"/>
    <row r="98" spans="2:21" s="184" customFormat="1">
      <c r="B98" s="185" t="s">
        <v>278</v>
      </c>
      <c r="C98" s="186"/>
      <c r="D98" s="186"/>
      <c r="E98" s="186"/>
      <c r="F98" s="186"/>
      <c r="G98" s="186"/>
      <c r="H98" s="186"/>
      <c r="I98" s="186"/>
    </row>
    <row r="99" spans="2:21" s="184" customFormat="1"/>
    <row r="100" spans="2:21" s="184" customFormat="1">
      <c r="B100" s="421" t="s">
        <v>285</v>
      </c>
      <c r="C100" s="422"/>
      <c r="D100" s="422"/>
      <c r="E100" s="422"/>
      <c r="F100" s="422"/>
      <c r="G100" s="422"/>
      <c r="H100" s="422"/>
      <c r="I100" s="422"/>
      <c r="J100" s="422"/>
      <c r="K100" s="422"/>
      <c r="L100" s="422"/>
      <c r="M100" s="422"/>
      <c r="N100" s="422"/>
      <c r="O100" s="422"/>
      <c r="P100" s="422"/>
      <c r="Q100" s="422"/>
      <c r="R100" s="422"/>
      <c r="S100" s="422"/>
      <c r="T100" s="422"/>
      <c r="U100" s="423"/>
    </row>
    <row r="101" spans="2:21" s="184" customFormat="1">
      <c r="B101" s="424"/>
      <c r="C101" s="413"/>
      <c r="D101" s="413"/>
      <c r="E101" s="413"/>
      <c r="F101" s="413"/>
      <c r="G101" s="413"/>
      <c r="H101" s="413"/>
      <c r="I101" s="413"/>
      <c r="J101" s="413"/>
      <c r="K101" s="413"/>
      <c r="L101" s="413"/>
      <c r="M101" s="413"/>
      <c r="N101" s="413"/>
      <c r="O101" s="413"/>
      <c r="P101" s="413"/>
      <c r="Q101" s="413"/>
      <c r="R101" s="413"/>
      <c r="S101" s="413"/>
      <c r="T101" s="413"/>
      <c r="U101" s="425"/>
    </row>
    <row r="102" spans="2:21" s="184" customFormat="1">
      <c r="B102" s="424"/>
      <c r="C102" s="413"/>
      <c r="D102" s="413"/>
      <c r="E102" s="413"/>
      <c r="F102" s="413"/>
      <c r="G102" s="413"/>
      <c r="H102" s="413"/>
      <c r="I102" s="413"/>
      <c r="J102" s="413"/>
      <c r="K102" s="413"/>
      <c r="L102" s="413"/>
      <c r="M102" s="413"/>
      <c r="N102" s="413"/>
      <c r="O102" s="413"/>
      <c r="P102" s="413"/>
      <c r="Q102" s="413"/>
      <c r="R102" s="413"/>
      <c r="S102" s="413"/>
      <c r="T102" s="413"/>
      <c r="U102" s="425"/>
    </row>
    <row r="103" spans="2:21" s="184" customFormat="1">
      <c r="B103" s="424"/>
      <c r="C103" s="413"/>
      <c r="D103" s="413"/>
      <c r="E103" s="413"/>
      <c r="F103" s="413"/>
      <c r="G103" s="413"/>
      <c r="H103" s="413"/>
      <c r="I103" s="413"/>
      <c r="J103" s="413"/>
      <c r="K103" s="413"/>
      <c r="L103" s="413"/>
      <c r="M103" s="413"/>
      <c r="N103" s="413"/>
      <c r="O103" s="413"/>
      <c r="P103" s="413"/>
      <c r="Q103" s="413"/>
      <c r="R103" s="413"/>
      <c r="S103" s="413"/>
      <c r="T103" s="413"/>
      <c r="U103" s="425"/>
    </row>
    <row r="104" spans="2:21" s="184" customFormat="1">
      <c r="B104" s="424"/>
      <c r="C104" s="413"/>
      <c r="D104" s="413"/>
      <c r="E104" s="413"/>
      <c r="F104" s="413"/>
      <c r="G104" s="413"/>
      <c r="H104" s="413"/>
      <c r="I104" s="413"/>
      <c r="J104" s="413"/>
      <c r="K104" s="413"/>
      <c r="L104" s="413"/>
      <c r="M104" s="413"/>
      <c r="N104" s="413"/>
      <c r="O104" s="413"/>
      <c r="P104" s="413"/>
      <c r="Q104" s="413"/>
      <c r="R104" s="413"/>
      <c r="S104" s="413"/>
      <c r="T104" s="413"/>
      <c r="U104" s="425"/>
    </row>
    <row r="105" spans="2:21" s="184" customFormat="1">
      <c r="B105" s="424"/>
      <c r="C105" s="413"/>
      <c r="D105" s="413"/>
      <c r="E105" s="413"/>
      <c r="F105" s="413"/>
      <c r="G105" s="413"/>
      <c r="H105" s="413"/>
      <c r="I105" s="413"/>
      <c r="J105" s="413"/>
      <c r="K105" s="413"/>
      <c r="L105" s="413"/>
      <c r="M105" s="413"/>
      <c r="N105" s="413"/>
      <c r="O105" s="413"/>
      <c r="P105" s="413"/>
      <c r="Q105" s="413"/>
      <c r="R105" s="413"/>
      <c r="S105" s="413"/>
      <c r="T105" s="413"/>
      <c r="U105" s="425"/>
    </row>
    <row r="106" spans="2:21" s="184" customFormat="1">
      <c r="B106" s="424"/>
      <c r="C106" s="413"/>
      <c r="D106" s="413"/>
      <c r="E106" s="413"/>
      <c r="F106" s="413"/>
      <c r="G106" s="413"/>
      <c r="H106" s="413"/>
      <c r="I106" s="413"/>
      <c r="J106" s="413"/>
      <c r="K106" s="413"/>
      <c r="L106" s="413"/>
      <c r="M106" s="413"/>
      <c r="N106" s="413"/>
      <c r="O106" s="413"/>
      <c r="P106" s="413"/>
      <c r="Q106" s="413"/>
      <c r="R106" s="413"/>
      <c r="S106" s="413"/>
      <c r="T106" s="413"/>
      <c r="U106" s="425"/>
    </row>
    <row r="107" spans="2:21" s="184" customFormat="1">
      <c r="B107" s="424"/>
      <c r="C107" s="413"/>
      <c r="D107" s="413"/>
      <c r="E107" s="413"/>
      <c r="F107" s="413"/>
      <c r="G107" s="413"/>
      <c r="H107" s="413"/>
      <c r="I107" s="413"/>
      <c r="J107" s="413"/>
      <c r="K107" s="413"/>
      <c r="L107" s="413"/>
      <c r="M107" s="413"/>
      <c r="N107" s="413"/>
      <c r="O107" s="413"/>
      <c r="P107" s="413"/>
      <c r="Q107" s="413"/>
      <c r="R107" s="413"/>
      <c r="S107" s="413"/>
      <c r="T107" s="413"/>
      <c r="U107" s="425"/>
    </row>
    <row r="108" spans="2:21" s="184" customFormat="1">
      <c r="B108" s="424"/>
      <c r="C108" s="413"/>
      <c r="D108" s="413"/>
      <c r="E108" s="413"/>
      <c r="F108" s="413"/>
      <c r="G108" s="413"/>
      <c r="H108" s="413"/>
      <c r="I108" s="413"/>
      <c r="J108" s="413"/>
      <c r="K108" s="413"/>
      <c r="L108" s="413"/>
      <c r="M108" s="413"/>
      <c r="N108" s="413"/>
      <c r="O108" s="413"/>
      <c r="P108" s="413"/>
      <c r="Q108" s="413"/>
      <c r="R108" s="413"/>
      <c r="S108" s="413"/>
      <c r="T108" s="413"/>
      <c r="U108" s="425"/>
    </row>
    <row r="109" spans="2:21" s="184" customFormat="1">
      <c r="B109" s="424"/>
      <c r="C109" s="413"/>
      <c r="D109" s="413"/>
      <c r="E109" s="413"/>
      <c r="F109" s="413"/>
      <c r="G109" s="413"/>
      <c r="H109" s="413"/>
      <c r="I109" s="413"/>
      <c r="J109" s="413"/>
      <c r="K109" s="413"/>
      <c r="L109" s="413"/>
      <c r="M109" s="413"/>
      <c r="N109" s="413"/>
      <c r="O109" s="413"/>
      <c r="P109" s="413"/>
      <c r="Q109" s="413"/>
      <c r="R109" s="413"/>
      <c r="S109" s="413"/>
      <c r="T109" s="413"/>
      <c r="U109" s="425"/>
    </row>
    <row r="110" spans="2:21" s="184" customFormat="1">
      <c r="B110" s="424"/>
      <c r="C110" s="413"/>
      <c r="D110" s="413"/>
      <c r="E110" s="413"/>
      <c r="F110" s="413"/>
      <c r="G110" s="413"/>
      <c r="H110" s="413"/>
      <c r="I110" s="413"/>
      <c r="J110" s="413"/>
      <c r="K110" s="413"/>
      <c r="L110" s="413"/>
      <c r="M110" s="413"/>
      <c r="N110" s="413"/>
      <c r="O110" s="413"/>
      <c r="P110" s="413"/>
      <c r="Q110" s="413"/>
      <c r="R110" s="413"/>
      <c r="S110" s="413"/>
      <c r="T110" s="413"/>
      <c r="U110" s="425"/>
    </row>
    <row r="111" spans="2:21" s="184" customFormat="1">
      <c r="B111" s="421" t="s">
        <v>280</v>
      </c>
      <c r="C111" s="422"/>
      <c r="D111" s="422"/>
      <c r="E111" s="422"/>
      <c r="F111" s="422"/>
      <c r="G111" s="422"/>
      <c r="H111" s="422"/>
      <c r="I111" s="422"/>
      <c r="J111" s="422"/>
      <c r="K111" s="422"/>
      <c r="L111" s="422"/>
      <c r="M111" s="422"/>
      <c r="N111" s="422"/>
      <c r="O111" s="422"/>
      <c r="P111" s="422"/>
      <c r="Q111" s="422"/>
      <c r="R111" s="422"/>
      <c r="S111" s="422"/>
      <c r="T111" s="422"/>
      <c r="U111" s="423"/>
    </row>
    <row r="112" spans="2:21" s="184" customFormat="1">
      <c r="B112" s="424"/>
      <c r="C112" s="413"/>
      <c r="D112" s="413"/>
      <c r="E112" s="413"/>
      <c r="F112" s="413"/>
      <c r="G112" s="413"/>
      <c r="H112" s="413"/>
      <c r="I112" s="413"/>
      <c r="J112" s="413"/>
      <c r="K112" s="413"/>
      <c r="L112" s="413"/>
      <c r="M112" s="413"/>
      <c r="N112" s="413"/>
      <c r="O112" s="413"/>
      <c r="P112" s="413"/>
      <c r="Q112" s="413"/>
      <c r="R112" s="413"/>
      <c r="S112" s="413"/>
      <c r="T112" s="413"/>
      <c r="U112" s="425"/>
    </row>
    <row r="113" spans="2:21" s="184" customFormat="1">
      <c r="B113" s="424"/>
      <c r="C113" s="413"/>
      <c r="D113" s="413"/>
      <c r="E113" s="413"/>
      <c r="F113" s="413"/>
      <c r="G113" s="413"/>
      <c r="H113" s="413"/>
      <c r="I113" s="413"/>
      <c r="J113" s="413"/>
      <c r="K113" s="413"/>
      <c r="L113" s="413"/>
      <c r="M113" s="413"/>
      <c r="N113" s="413"/>
      <c r="O113" s="413"/>
      <c r="P113" s="413"/>
      <c r="Q113" s="413"/>
      <c r="R113" s="413"/>
      <c r="S113" s="413"/>
      <c r="T113" s="413"/>
      <c r="U113" s="425"/>
    </row>
    <row r="114" spans="2:21" s="184" customFormat="1">
      <c r="B114" s="421" t="s">
        <v>279</v>
      </c>
      <c r="C114" s="422"/>
      <c r="D114" s="422"/>
      <c r="E114" s="422"/>
      <c r="F114" s="422"/>
      <c r="G114" s="422"/>
      <c r="H114" s="422"/>
      <c r="I114" s="422"/>
      <c r="J114" s="422"/>
      <c r="K114" s="422"/>
      <c r="L114" s="422"/>
      <c r="M114" s="422"/>
      <c r="N114" s="422"/>
      <c r="O114" s="422"/>
      <c r="P114" s="422"/>
      <c r="Q114" s="422"/>
      <c r="R114" s="422"/>
      <c r="S114" s="422"/>
      <c r="T114" s="422"/>
      <c r="U114" s="423"/>
    </row>
    <row r="115" spans="2:21" s="184" customFormat="1">
      <c r="B115" s="424"/>
      <c r="C115" s="413"/>
      <c r="D115" s="413"/>
      <c r="E115" s="413"/>
      <c r="F115" s="413"/>
      <c r="G115" s="413"/>
      <c r="H115" s="413"/>
      <c r="I115" s="413"/>
      <c r="J115" s="413"/>
      <c r="K115" s="413"/>
      <c r="L115" s="413"/>
      <c r="M115" s="413"/>
      <c r="N115" s="413"/>
      <c r="O115" s="413"/>
      <c r="P115" s="413"/>
      <c r="Q115" s="413"/>
      <c r="R115" s="413"/>
      <c r="S115" s="413"/>
      <c r="T115" s="413"/>
      <c r="U115" s="425"/>
    </row>
    <row r="116" spans="2:21" s="184" customFormat="1">
      <c r="B116" s="426"/>
      <c r="C116" s="427"/>
      <c r="D116" s="427"/>
      <c r="E116" s="427"/>
      <c r="F116" s="427"/>
      <c r="G116" s="427"/>
      <c r="H116" s="427"/>
      <c r="I116" s="427"/>
      <c r="J116" s="427"/>
      <c r="K116" s="427"/>
      <c r="L116" s="427"/>
      <c r="M116" s="427"/>
      <c r="N116" s="427"/>
      <c r="O116" s="427"/>
      <c r="P116" s="427"/>
      <c r="Q116" s="427"/>
      <c r="R116" s="427"/>
      <c r="S116" s="427"/>
      <c r="T116" s="427"/>
      <c r="U116" s="428"/>
    </row>
    <row r="117" spans="2:21" s="184" customFormat="1"/>
  </sheetData>
  <sheetProtection algorithmName="SHA-512" hashValue="dNd9KXiyrgCuW3YalzQJyI39c18P5s5kcIJ8mRzvGoADfdWo3WNyMZyxUDzSoG53jMOp83Um57HNUCgpaNt1hQ==" saltValue="GkSVUEXCvv33o4CH6j2XQw==" spinCount="100000" sheet="1" objects="1" scenarios="1" selectLockedCells="1"/>
  <mergeCells count="19">
    <mergeCell ref="B100:U110"/>
    <mergeCell ref="B111:U113"/>
    <mergeCell ref="B114:U116"/>
    <mergeCell ref="B67:U74"/>
    <mergeCell ref="B75:U86"/>
    <mergeCell ref="B87:U90"/>
    <mergeCell ref="B91:U94"/>
    <mergeCell ref="B4:U5"/>
    <mergeCell ref="B6:U18"/>
    <mergeCell ref="B59:U61"/>
    <mergeCell ref="B40:U41"/>
    <mergeCell ref="B26:U34"/>
    <mergeCell ref="B23:U25"/>
    <mergeCell ref="B19:U22"/>
    <mergeCell ref="B42:U46"/>
    <mergeCell ref="B47:U50"/>
    <mergeCell ref="B51:U53"/>
    <mergeCell ref="B54:U55"/>
    <mergeCell ref="B56:U5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E07DD-A87F-491C-921F-74B31E2A51AF}">
  <sheetPr codeName="Sheet4">
    <tabColor theme="0" tint="-0.249977111117893"/>
  </sheetPr>
  <dimension ref="B1:AD170"/>
  <sheetViews>
    <sheetView showGridLines="0" zoomScale="85" zoomScaleNormal="85" workbookViewId="0"/>
  </sheetViews>
  <sheetFormatPr defaultRowHeight="12.75"/>
  <cols>
    <col min="1" max="1" width="4.140625" style="1" customWidth="1"/>
    <col min="2" max="2" width="19.28515625" style="2" customWidth="1"/>
    <col min="3" max="3" width="14.42578125" style="2" customWidth="1"/>
    <col min="4" max="5" width="15" style="1" bestFit="1" customWidth="1"/>
    <col min="6" max="10" width="11.42578125" style="1" customWidth="1"/>
    <col min="11" max="14" width="10.42578125" style="1" customWidth="1"/>
    <col min="15" max="15" width="17.7109375" style="1" bestFit="1" customWidth="1"/>
    <col min="16" max="20" width="10.42578125" style="1" customWidth="1"/>
    <col min="21" max="22" width="7.28515625" style="1" customWidth="1"/>
    <col min="23" max="23" width="55.28515625" style="57" customWidth="1"/>
    <col min="24" max="25" width="12" style="72" customWidth="1"/>
    <col min="26" max="26" width="64.85546875" style="58" bestFit="1" customWidth="1"/>
    <col min="27" max="16384" width="9.140625" style="1"/>
  </cols>
  <sheetData>
    <row r="1" spans="2:27">
      <c r="X1" s="57"/>
      <c r="Y1" s="57"/>
    </row>
    <row r="2" spans="2:27">
      <c r="H2" s="3"/>
      <c r="X2" s="106">
        <v>45108</v>
      </c>
      <c r="Y2" s="106"/>
    </row>
    <row r="3" spans="2:27" ht="28.5" customHeight="1">
      <c r="B3" s="18" t="s">
        <v>17</v>
      </c>
      <c r="C3" s="16" t="s">
        <v>19</v>
      </c>
      <c r="D3" s="16" t="s">
        <v>20</v>
      </c>
      <c r="E3" s="16" t="s">
        <v>21</v>
      </c>
      <c r="G3" s="18" t="s">
        <v>156</v>
      </c>
      <c r="H3" s="99" t="s">
        <v>228</v>
      </c>
      <c r="I3" s="100" t="s">
        <v>229</v>
      </c>
      <c r="K3" s="116" t="s">
        <v>156</v>
      </c>
      <c r="L3" s="145" t="s">
        <v>107</v>
      </c>
      <c r="N3" s="116" t="s">
        <v>156</v>
      </c>
      <c r="O3" s="116" t="s">
        <v>105</v>
      </c>
      <c r="P3" s="116" t="s">
        <v>190</v>
      </c>
      <c r="R3" s="97" t="s">
        <v>156</v>
      </c>
      <c r="S3" s="108" t="s">
        <v>230</v>
      </c>
      <c r="T3" s="109" t="s">
        <v>230</v>
      </c>
      <c r="U3" s="96"/>
      <c r="V3" s="96"/>
      <c r="W3" s="107" t="s">
        <v>74</v>
      </c>
      <c r="X3" s="95" t="s">
        <v>113</v>
      </c>
      <c r="Y3" s="104" t="s">
        <v>114</v>
      </c>
      <c r="Z3" s="105" t="s">
        <v>110</v>
      </c>
    </row>
    <row r="4" spans="2:27">
      <c r="B4" s="4" t="s">
        <v>18</v>
      </c>
      <c r="C4" s="6">
        <v>45108</v>
      </c>
      <c r="D4" s="6">
        <v>45292</v>
      </c>
      <c r="E4" s="6">
        <v>45108</v>
      </c>
      <c r="G4" s="98">
        <v>1</v>
      </c>
      <c r="H4" s="101">
        <v>1</v>
      </c>
      <c r="I4" s="102" t="s">
        <v>159</v>
      </c>
      <c r="K4" s="9">
        <v>1</v>
      </c>
      <c r="L4" s="9">
        <v>0</v>
      </c>
      <c r="N4" s="9">
        <v>1</v>
      </c>
      <c r="O4" s="181" t="s">
        <v>32</v>
      </c>
      <c r="P4" s="26">
        <v>1.1200000000000001</v>
      </c>
      <c r="R4" s="98">
        <v>1</v>
      </c>
      <c r="S4" s="101">
        <v>1</v>
      </c>
      <c r="T4" s="102" t="s">
        <v>290</v>
      </c>
      <c r="U4" s="96"/>
      <c r="V4" s="96"/>
      <c r="W4" s="59" t="s">
        <v>70</v>
      </c>
      <c r="X4" s="149">
        <v>1154.44</v>
      </c>
      <c r="Y4" s="91" t="s">
        <v>241</v>
      </c>
      <c r="Z4" s="60" t="s">
        <v>197</v>
      </c>
    </row>
    <row r="5" spans="2:27">
      <c r="B5" s="7" t="s">
        <v>32</v>
      </c>
      <c r="C5" s="8">
        <v>1.1200000000000001</v>
      </c>
      <c r="D5" s="176">
        <v>1.1540000000000001</v>
      </c>
      <c r="E5" s="176">
        <v>1.1540000000000001</v>
      </c>
      <c r="G5" s="98">
        <v>2</v>
      </c>
      <c r="H5" s="101">
        <v>2</v>
      </c>
      <c r="I5" s="102" t="s">
        <v>160</v>
      </c>
      <c r="K5" s="9">
        <v>2</v>
      </c>
      <c r="L5" s="9">
        <v>1</v>
      </c>
      <c r="N5" s="9">
        <v>2</v>
      </c>
      <c r="O5" s="181" t="s">
        <v>50</v>
      </c>
      <c r="P5" s="26">
        <v>1</v>
      </c>
      <c r="R5" s="98">
        <v>2</v>
      </c>
      <c r="S5" s="101">
        <v>2</v>
      </c>
      <c r="T5" s="102" t="s">
        <v>291</v>
      </c>
      <c r="U5" s="96"/>
      <c r="V5" s="96"/>
      <c r="W5" s="61" t="s">
        <v>70</v>
      </c>
      <c r="X5" s="149">
        <v>1539.27</v>
      </c>
      <c r="Y5" s="92" t="s">
        <v>241</v>
      </c>
      <c r="Z5" s="62" t="s">
        <v>198</v>
      </c>
    </row>
    <row r="6" spans="2:27">
      <c r="B6" s="22" t="s">
        <v>50</v>
      </c>
      <c r="C6" s="10">
        <v>1</v>
      </c>
      <c r="D6" s="177">
        <v>1</v>
      </c>
      <c r="E6" s="177">
        <v>1</v>
      </c>
      <c r="G6" s="98">
        <v>3</v>
      </c>
      <c r="H6" s="101">
        <v>3</v>
      </c>
      <c r="I6" s="102" t="s">
        <v>161</v>
      </c>
      <c r="K6" s="9">
        <v>3</v>
      </c>
      <c r="L6" s="9">
        <v>2</v>
      </c>
      <c r="N6" s="9">
        <v>3</v>
      </c>
      <c r="O6" s="181" t="s">
        <v>33</v>
      </c>
      <c r="P6" s="26">
        <v>0.68599999999999994</v>
      </c>
      <c r="R6" s="98">
        <v>3</v>
      </c>
      <c r="S6" s="101">
        <v>3</v>
      </c>
      <c r="T6" s="102" t="s">
        <v>292</v>
      </c>
      <c r="U6" s="96"/>
      <c r="V6" s="96"/>
      <c r="W6" s="61" t="s">
        <v>258</v>
      </c>
      <c r="X6" s="150">
        <v>215.91</v>
      </c>
      <c r="Y6" s="92" t="s">
        <v>241</v>
      </c>
      <c r="Z6" s="62" t="s">
        <v>115</v>
      </c>
    </row>
    <row r="7" spans="2:27">
      <c r="B7" s="7" t="s">
        <v>33</v>
      </c>
      <c r="C7" s="8">
        <v>0.68599999999999994</v>
      </c>
      <c r="D7" s="176">
        <v>0.65300000000000002</v>
      </c>
      <c r="E7" s="178"/>
      <c r="G7" s="98">
        <v>4</v>
      </c>
      <c r="H7" s="101">
        <v>4</v>
      </c>
      <c r="I7" s="102" t="s">
        <v>162</v>
      </c>
      <c r="K7" s="9">
        <v>4</v>
      </c>
      <c r="L7" s="9">
        <v>3</v>
      </c>
      <c r="M7" s="3"/>
      <c r="N7" s="9">
        <v>4</v>
      </c>
      <c r="O7" s="181" t="s">
        <v>34</v>
      </c>
      <c r="P7" s="26">
        <v>0.84799999999999998</v>
      </c>
      <c r="Q7" s="3"/>
      <c r="R7" s="98">
        <v>4</v>
      </c>
      <c r="S7" s="101">
        <v>4</v>
      </c>
      <c r="T7" s="102" t="s">
        <v>293</v>
      </c>
      <c r="U7" s="96"/>
      <c r="V7" s="96"/>
      <c r="W7" s="61" t="s">
        <v>0</v>
      </c>
      <c r="X7" s="150">
        <v>471.8</v>
      </c>
      <c r="Y7" s="92" t="s">
        <v>241</v>
      </c>
      <c r="Z7" s="62" t="s">
        <v>116</v>
      </c>
    </row>
    <row r="8" spans="2:27">
      <c r="B8" s="7" t="s">
        <v>34</v>
      </c>
      <c r="C8" s="8">
        <v>0.84799999999999998</v>
      </c>
      <c r="D8" s="176">
        <v>0.747</v>
      </c>
      <c r="E8" s="178"/>
      <c r="G8" s="98">
        <v>5</v>
      </c>
      <c r="H8" s="101">
        <v>5</v>
      </c>
      <c r="I8" s="102" t="s">
        <v>163</v>
      </c>
      <c r="K8" s="9">
        <v>5</v>
      </c>
      <c r="L8" s="9">
        <v>4</v>
      </c>
      <c r="M8" s="3"/>
      <c r="N8" s="9">
        <v>5</v>
      </c>
      <c r="O8" s="181" t="s">
        <v>35</v>
      </c>
      <c r="P8" s="26">
        <v>0.82499999999999996</v>
      </c>
      <c r="Q8" s="3"/>
      <c r="R8" s="98">
        <v>5</v>
      </c>
      <c r="S8" s="101">
        <v>5</v>
      </c>
      <c r="T8" s="102" t="s">
        <v>294</v>
      </c>
      <c r="U8" s="96"/>
      <c r="V8" s="96"/>
      <c r="W8" s="61" t="s">
        <v>71</v>
      </c>
      <c r="X8" s="150">
        <v>320.12</v>
      </c>
      <c r="Y8" s="92" t="s">
        <v>241</v>
      </c>
      <c r="Z8" s="62" t="s">
        <v>117</v>
      </c>
    </row>
    <row r="9" spans="2:27">
      <c r="B9" s="7" t="s">
        <v>35</v>
      </c>
      <c r="C9" s="8">
        <v>0.82499999999999996</v>
      </c>
      <c r="D9" s="176">
        <v>0.84599999999999997</v>
      </c>
      <c r="E9" s="178"/>
      <c r="G9" s="98">
        <v>6</v>
      </c>
      <c r="H9" s="101">
        <v>6</v>
      </c>
      <c r="I9" s="102" t="s">
        <v>164</v>
      </c>
      <c r="K9" s="9">
        <v>6</v>
      </c>
      <c r="L9" s="9">
        <v>5</v>
      </c>
      <c r="M9" s="3"/>
      <c r="N9" s="9">
        <v>6</v>
      </c>
      <c r="O9" s="181" t="s">
        <v>36</v>
      </c>
      <c r="P9" s="26">
        <v>1.0290000000000001</v>
      </c>
      <c r="Q9" s="3"/>
      <c r="R9" s="98">
        <v>6</v>
      </c>
      <c r="S9" s="101">
        <v>6</v>
      </c>
      <c r="T9" s="102" t="s">
        <v>295</v>
      </c>
      <c r="U9" s="96"/>
      <c r="V9" s="96"/>
      <c r="W9" s="61" t="s">
        <v>72</v>
      </c>
      <c r="X9" s="150">
        <v>115.26</v>
      </c>
      <c r="Y9" s="92" t="s">
        <v>241</v>
      </c>
      <c r="Z9" s="62" t="s">
        <v>118</v>
      </c>
    </row>
    <row r="10" spans="2:27">
      <c r="B10" s="7" t="s">
        <v>36</v>
      </c>
      <c r="C10" s="8">
        <v>1.0290000000000001</v>
      </c>
      <c r="D10" s="176">
        <v>0.91099999999999992</v>
      </c>
      <c r="E10" s="178"/>
      <c r="G10" s="98">
        <v>7</v>
      </c>
      <c r="H10" s="101">
        <v>7</v>
      </c>
      <c r="I10" s="102" t="s">
        <v>165</v>
      </c>
      <c r="K10" s="9">
        <v>7</v>
      </c>
      <c r="L10" s="9">
        <v>6</v>
      </c>
      <c r="N10" s="9">
        <v>7</v>
      </c>
      <c r="O10" s="181" t="s">
        <v>37</v>
      </c>
      <c r="P10" s="26">
        <v>1.3140000000000001</v>
      </c>
      <c r="R10" s="98">
        <v>7</v>
      </c>
      <c r="S10" s="101">
        <v>7</v>
      </c>
      <c r="T10" s="102" t="s">
        <v>296</v>
      </c>
      <c r="U10" s="96"/>
      <c r="V10" s="96"/>
      <c r="W10" s="61" t="s">
        <v>73</v>
      </c>
      <c r="X10" s="150">
        <v>639.94000000000005</v>
      </c>
      <c r="Y10" s="92" t="s">
        <v>241</v>
      </c>
      <c r="Z10" s="62" t="s">
        <v>199</v>
      </c>
    </row>
    <row r="11" spans="2:27">
      <c r="B11" s="7" t="s">
        <v>37</v>
      </c>
      <c r="C11" s="8">
        <v>1.3140000000000001</v>
      </c>
      <c r="D11" s="176">
        <v>1.3659999999999999</v>
      </c>
      <c r="E11" s="176">
        <v>1.3659999999999999</v>
      </c>
      <c r="G11" s="98">
        <v>8</v>
      </c>
      <c r="H11" s="101">
        <v>8</v>
      </c>
      <c r="I11" s="102" t="s">
        <v>317</v>
      </c>
      <c r="K11" s="9">
        <v>8</v>
      </c>
      <c r="L11" s="9">
        <v>7</v>
      </c>
      <c r="N11" s="9">
        <v>8</v>
      </c>
      <c r="O11" s="181" t="s">
        <v>38</v>
      </c>
      <c r="P11" s="26">
        <v>0.9890000000000001</v>
      </c>
      <c r="R11" s="98">
        <v>8</v>
      </c>
      <c r="S11" s="101">
        <v>8</v>
      </c>
      <c r="T11" s="102" t="s">
        <v>297</v>
      </c>
      <c r="U11" s="96"/>
      <c r="V11" s="96"/>
      <c r="W11" s="61" t="s">
        <v>239</v>
      </c>
      <c r="X11" s="150">
        <f>(X8*2)-X9</f>
        <v>524.98</v>
      </c>
      <c r="Y11" s="92" t="s">
        <v>241</v>
      </c>
      <c r="Z11" s="62" t="s">
        <v>240</v>
      </c>
      <c r="AA11" s="3"/>
    </row>
    <row r="12" spans="2:27">
      <c r="B12" s="22" t="s">
        <v>38</v>
      </c>
      <c r="C12" s="10">
        <v>0.9890000000000001</v>
      </c>
      <c r="D12" s="177">
        <v>1.038</v>
      </c>
      <c r="E12" s="177">
        <v>1.038</v>
      </c>
      <c r="G12" s="98">
        <v>9</v>
      </c>
      <c r="H12" s="101">
        <v>9</v>
      </c>
      <c r="I12" s="102" t="s">
        <v>318</v>
      </c>
      <c r="J12" s="3"/>
      <c r="N12" s="9">
        <v>9</v>
      </c>
      <c r="O12" s="181" t="s">
        <v>39</v>
      </c>
      <c r="P12" s="26">
        <v>1.1859999999999999</v>
      </c>
      <c r="R12" s="98">
        <v>9</v>
      </c>
      <c r="S12" s="101">
        <v>9</v>
      </c>
      <c r="T12" s="102" t="s">
        <v>298</v>
      </c>
      <c r="U12" s="3"/>
      <c r="V12" s="3"/>
      <c r="W12" s="146" t="s">
        <v>222</v>
      </c>
      <c r="X12" s="179"/>
      <c r="Y12" s="147"/>
      <c r="Z12" s="148" t="s">
        <v>119</v>
      </c>
    </row>
    <row r="13" spans="2:27">
      <c r="B13" s="7" t="s">
        <v>39</v>
      </c>
      <c r="C13" s="8">
        <v>1.1859999999999999</v>
      </c>
      <c r="D13" s="176">
        <v>1.2190000000000001</v>
      </c>
      <c r="E13" s="176">
        <v>1.2190000000000001</v>
      </c>
      <c r="G13" s="98">
        <v>10</v>
      </c>
      <c r="H13" s="101">
        <v>10</v>
      </c>
      <c r="I13" s="102" t="s">
        <v>319</v>
      </c>
      <c r="J13" s="3"/>
      <c r="N13" s="9">
        <v>10</v>
      </c>
      <c r="O13" s="181" t="s">
        <v>40</v>
      </c>
      <c r="P13" s="26">
        <v>1.1950000000000001</v>
      </c>
      <c r="R13" s="98">
        <v>10</v>
      </c>
      <c r="S13" s="101">
        <v>10</v>
      </c>
      <c r="T13" s="102" t="s">
        <v>299</v>
      </c>
      <c r="U13" s="3"/>
      <c r="V13" s="3"/>
      <c r="W13" s="61" t="s">
        <v>52</v>
      </c>
      <c r="X13" s="151">
        <v>0</v>
      </c>
      <c r="Y13" s="93" t="s">
        <v>241</v>
      </c>
      <c r="Z13" s="63"/>
    </row>
    <row r="14" spans="2:27">
      <c r="B14" s="22" t="s">
        <v>40</v>
      </c>
      <c r="C14" s="10">
        <v>1.1950000000000001</v>
      </c>
      <c r="D14" s="177">
        <v>1.115</v>
      </c>
      <c r="E14" s="177">
        <v>1.115</v>
      </c>
      <c r="G14" s="98">
        <v>11</v>
      </c>
      <c r="H14" s="101">
        <v>11</v>
      </c>
      <c r="I14" s="102" t="s">
        <v>320</v>
      </c>
      <c r="J14" s="3"/>
      <c r="N14" s="9">
        <v>11</v>
      </c>
      <c r="O14" s="181" t="s">
        <v>41</v>
      </c>
      <c r="P14" s="26">
        <v>1.034</v>
      </c>
      <c r="R14" s="98">
        <v>11</v>
      </c>
      <c r="S14" s="101">
        <v>11</v>
      </c>
      <c r="T14" s="102" t="s">
        <v>300</v>
      </c>
      <c r="U14" s="3"/>
      <c r="V14" s="3"/>
      <c r="W14" s="61" t="s">
        <v>53</v>
      </c>
      <c r="X14" s="151">
        <v>0.23799999999999999</v>
      </c>
      <c r="Y14" s="93" t="s">
        <v>241</v>
      </c>
      <c r="Z14" s="64"/>
    </row>
    <row r="15" spans="2:27">
      <c r="B15" s="7" t="s">
        <v>41</v>
      </c>
      <c r="C15" s="8">
        <v>1.034</v>
      </c>
      <c r="D15" s="176">
        <v>1.0549999999999999</v>
      </c>
      <c r="E15" s="176">
        <v>1.0549999999999999</v>
      </c>
      <c r="G15" s="98">
        <v>12</v>
      </c>
      <c r="H15" s="101">
        <v>12</v>
      </c>
      <c r="I15" s="102" t="s">
        <v>321</v>
      </c>
      <c r="J15" s="3"/>
      <c r="N15" s="9">
        <v>12</v>
      </c>
      <c r="O15" s="181" t="s">
        <v>46</v>
      </c>
      <c r="P15" s="26">
        <v>0.96799999999999997</v>
      </c>
      <c r="R15" s="98">
        <v>12</v>
      </c>
      <c r="S15" s="101">
        <v>12</v>
      </c>
      <c r="T15" s="102" t="s">
        <v>301</v>
      </c>
      <c r="U15" s="3"/>
      <c r="V15" s="3"/>
      <c r="W15" s="61" t="s">
        <v>54</v>
      </c>
      <c r="X15" s="151">
        <v>0.39679999999999999</v>
      </c>
      <c r="Y15" s="93" t="s">
        <v>241</v>
      </c>
      <c r="Z15" s="64"/>
    </row>
    <row r="16" spans="2:27">
      <c r="B16" s="7" t="s">
        <v>46</v>
      </c>
      <c r="C16" s="8">
        <v>0.96799999999999997</v>
      </c>
      <c r="D16" s="178"/>
      <c r="E16" s="178"/>
      <c r="G16" s="98">
        <v>13</v>
      </c>
      <c r="H16" s="101">
        <v>13</v>
      </c>
      <c r="I16" s="102" t="s">
        <v>171</v>
      </c>
      <c r="J16" s="3"/>
      <c r="K16" s="116" t="s">
        <v>156</v>
      </c>
      <c r="L16" s="116" t="s">
        <v>145</v>
      </c>
      <c r="N16" s="9">
        <v>13</v>
      </c>
      <c r="O16" s="181" t="s">
        <v>22</v>
      </c>
      <c r="P16" s="26">
        <v>1.153</v>
      </c>
      <c r="R16" s="98">
        <v>13</v>
      </c>
      <c r="S16" s="101">
        <v>13</v>
      </c>
      <c r="T16" s="102" t="s">
        <v>302</v>
      </c>
      <c r="U16" s="3"/>
      <c r="V16" s="3"/>
      <c r="W16" s="61" t="s">
        <v>55</v>
      </c>
      <c r="X16" s="151">
        <v>0.23799999999999999</v>
      </c>
      <c r="Y16" s="93" t="s">
        <v>241</v>
      </c>
      <c r="Z16" s="64"/>
    </row>
    <row r="17" spans="2:26">
      <c r="B17" s="7" t="s">
        <v>22</v>
      </c>
      <c r="C17" s="8">
        <v>1.153</v>
      </c>
      <c r="D17" s="178"/>
      <c r="E17" s="178"/>
      <c r="G17" s="98">
        <v>14</v>
      </c>
      <c r="H17" s="101">
        <v>14</v>
      </c>
      <c r="I17" s="102" t="s">
        <v>172</v>
      </c>
      <c r="J17" s="3"/>
      <c r="K17" s="9">
        <v>1</v>
      </c>
      <c r="L17" s="9" t="s">
        <v>112</v>
      </c>
      <c r="N17" s="9">
        <v>14</v>
      </c>
      <c r="O17" s="181" t="s">
        <v>42</v>
      </c>
      <c r="P17" s="26">
        <v>0.89599999999999991</v>
      </c>
      <c r="R17" s="98">
        <v>14</v>
      </c>
      <c r="S17" s="101">
        <v>14</v>
      </c>
      <c r="T17" s="102" t="s">
        <v>303</v>
      </c>
      <c r="U17" s="3"/>
      <c r="V17" s="3"/>
      <c r="W17" s="61" t="s">
        <v>56</v>
      </c>
      <c r="X17" s="151">
        <v>7.9200000000000007E-2</v>
      </c>
      <c r="Y17" s="93" t="s">
        <v>241</v>
      </c>
      <c r="Z17" s="64"/>
    </row>
    <row r="18" spans="2:26">
      <c r="B18" s="7" t="s">
        <v>42</v>
      </c>
      <c r="C18" s="8">
        <v>0.89599999999999991</v>
      </c>
      <c r="D18" s="176">
        <v>0.85299999999999998</v>
      </c>
      <c r="E18" s="178"/>
      <c r="G18" s="98">
        <v>15</v>
      </c>
      <c r="H18" s="101">
        <v>15</v>
      </c>
      <c r="I18" s="102" t="s">
        <v>308</v>
      </c>
      <c r="J18" s="3"/>
      <c r="K18" s="9">
        <v>2</v>
      </c>
      <c r="L18" s="9" t="s">
        <v>106</v>
      </c>
      <c r="N18" s="9">
        <v>15</v>
      </c>
      <c r="O18" s="181" t="s">
        <v>43</v>
      </c>
      <c r="P18" s="26">
        <v>0.86699999999999999</v>
      </c>
      <c r="R18" s="98">
        <v>15</v>
      </c>
      <c r="S18" s="101">
        <v>15</v>
      </c>
      <c r="T18" s="102" t="s">
        <v>304</v>
      </c>
      <c r="V18" s="3"/>
      <c r="W18" s="61" t="s">
        <v>57</v>
      </c>
      <c r="X18" s="151">
        <v>3.8199999999999998E-2</v>
      </c>
      <c r="Y18" s="93" t="s">
        <v>241</v>
      </c>
      <c r="Z18" s="64"/>
    </row>
    <row r="19" spans="2:26">
      <c r="B19" s="7" t="s">
        <v>43</v>
      </c>
      <c r="C19" s="8">
        <v>0.86699999999999999</v>
      </c>
      <c r="D19" s="176">
        <v>0.76700000000000002</v>
      </c>
      <c r="E19" s="178"/>
      <c r="G19" s="98">
        <v>16</v>
      </c>
      <c r="H19" s="101">
        <v>16</v>
      </c>
      <c r="I19" s="102" t="s">
        <v>309</v>
      </c>
      <c r="J19" s="3"/>
      <c r="N19" s="9">
        <v>16</v>
      </c>
      <c r="O19" s="181" t="s">
        <v>44</v>
      </c>
      <c r="P19" s="26">
        <v>1.3959999999999999</v>
      </c>
      <c r="R19" s="98">
        <v>16</v>
      </c>
      <c r="S19" s="101">
        <v>16</v>
      </c>
      <c r="T19" s="102" t="s">
        <v>305</v>
      </c>
      <c r="V19" s="3"/>
      <c r="W19" s="61" t="s">
        <v>58</v>
      </c>
      <c r="X19" s="151">
        <v>0</v>
      </c>
      <c r="Y19" s="93" t="s">
        <v>241</v>
      </c>
      <c r="Z19" s="64"/>
    </row>
    <row r="20" spans="2:26">
      <c r="B20" s="7" t="s">
        <v>44</v>
      </c>
      <c r="C20" s="8">
        <v>1.3959999999999999</v>
      </c>
      <c r="D20" s="176">
        <v>1.3759999999999999</v>
      </c>
      <c r="E20" s="176">
        <v>1.3759999999999999</v>
      </c>
      <c r="G20" s="98">
        <v>17</v>
      </c>
      <c r="H20" s="101">
        <v>17</v>
      </c>
      <c r="I20" s="102" t="s">
        <v>310</v>
      </c>
      <c r="J20" s="3"/>
      <c r="N20" s="9">
        <v>17</v>
      </c>
      <c r="O20" s="181" t="s">
        <v>45</v>
      </c>
      <c r="P20" s="26">
        <v>0.97299999999999998</v>
      </c>
      <c r="R20" s="98">
        <v>17</v>
      </c>
      <c r="S20" s="101">
        <v>17</v>
      </c>
      <c r="T20" s="102" t="s">
        <v>306</v>
      </c>
      <c r="V20" s="3"/>
      <c r="W20" s="61" t="s">
        <v>253</v>
      </c>
      <c r="X20" s="150">
        <v>119.01</v>
      </c>
      <c r="Y20" s="92" t="s">
        <v>241</v>
      </c>
      <c r="Z20" s="64"/>
    </row>
    <row r="21" spans="2:26">
      <c r="B21" s="7" t="s">
        <v>45</v>
      </c>
      <c r="C21" s="8">
        <v>0.97299999999999998</v>
      </c>
      <c r="D21" s="176">
        <v>0.98799999999999999</v>
      </c>
      <c r="E21" s="178"/>
      <c r="G21" s="98">
        <v>18</v>
      </c>
      <c r="H21" s="101">
        <v>18</v>
      </c>
      <c r="I21" s="102" t="s">
        <v>311</v>
      </c>
      <c r="J21" s="3"/>
      <c r="N21" s="9">
        <v>18</v>
      </c>
      <c r="O21" s="181" t="s">
        <v>75</v>
      </c>
      <c r="P21" s="26">
        <v>0.95</v>
      </c>
      <c r="R21" s="98">
        <v>18</v>
      </c>
      <c r="S21" s="101">
        <v>18</v>
      </c>
      <c r="T21" s="102" t="s">
        <v>307</v>
      </c>
      <c r="V21" s="3"/>
      <c r="W21" s="61" t="s">
        <v>254</v>
      </c>
      <c r="X21" s="150">
        <v>238.01</v>
      </c>
      <c r="Y21" s="92" t="s">
        <v>241</v>
      </c>
      <c r="Z21" s="64"/>
    </row>
    <row r="22" spans="2:26">
      <c r="B22" s="7" t="s">
        <v>75</v>
      </c>
      <c r="C22" s="8">
        <v>0.95</v>
      </c>
      <c r="D22" s="178"/>
      <c r="E22" s="178"/>
      <c r="G22" s="98">
        <v>19</v>
      </c>
      <c r="H22" s="101">
        <v>19</v>
      </c>
      <c r="I22" s="102" t="s">
        <v>312</v>
      </c>
      <c r="J22" s="3"/>
      <c r="N22" s="9">
        <v>19</v>
      </c>
      <c r="O22" s="181" t="s">
        <v>47</v>
      </c>
      <c r="P22" s="26">
        <v>0.88</v>
      </c>
      <c r="R22" s="3"/>
      <c r="S22" s="3"/>
      <c r="T22" s="3"/>
      <c r="U22" s="3"/>
      <c r="V22" s="3"/>
      <c r="W22" s="146" t="s">
        <v>127</v>
      </c>
      <c r="X22" s="179"/>
      <c r="Y22" s="147"/>
      <c r="Z22" s="148" t="s">
        <v>141</v>
      </c>
    </row>
    <row r="23" spans="2:26">
      <c r="B23" s="7" t="s">
        <v>47</v>
      </c>
      <c r="C23" s="8">
        <v>0.88</v>
      </c>
      <c r="D23" s="176">
        <v>0.82299999999999995</v>
      </c>
      <c r="E23" s="178"/>
      <c r="G23" s="98">
        <v>20</v>
      </c>
      <c r="H23" s="101">
        <v>20</v>
      </c>
      <c r="I23" s="102" t="s">
        <v>313</v>
      </c>
      <c r="J23" s="3"/>
      <c r="N23" s="9">
        <v>20</v>
      </c>
      <c r="O23" s="181" t="s">
        <v>48</v>
      </c>
      <c r="P23" s="26">
        <v>0.93400000000000005</v>
      </c>
      <c r="R23" s="3"/>
      <c r="S23" s="3"/>
      <c r="T23" s="3"/>
      <c r="U23" s="3"/>
      <c r="V23" s="3"/>
      <c r="W23" s="61" t="s">
        <v>52</v>
      </c>
      <c r="X23" s="151">
        <v>0</v>
      </c>
      <c r="Y23" s="93" t="s">
        <v>241</v>
      </c>
      <c r="Z23" s="65"/>
    </row>
    <row r="24" spans="2:26">
      <c r="B24" s="7" t="s">
        <v>48</v>
      </c>
      <c r="C24" s="8">
        <v>0.93400000000000005</v>
      </c>
      <c r="D24" s="176">
        <v>0.82700000000000007</v>
      </c>
      <c r="E24" s="178"/>
      <c r="G24" s="98">
        <v>21</v>
      </c>
      <c r="H24" s="101">
        <v>21</v>
      </c>
      <c r="I24" s="102" t="s">
        <v>314</v>
      </c>
      <c r="J24" s="3"/>
      <c r="N24" s="9">
        <v>21</v>
      </c>
      <c r="O24" s="181" t="s">
        <v>51</v>
      </c>
      <c r="P24" s="26">
        <v>1</v>
      </c>
      <c r="R24" s="103" t="s">
        <v>156</v>
      </c>
      <c r="S24" s="103" t="s">
        <v>232</v>
      </c>
      <c r="T24" s="3"/>
      <c r="U24" s="3"/>
      <c r="V24" s="3"/>
      <c r="W24" s="61" t="s">
        <v>53</v>
      </c>
      <c r="X24" s="151">
        <v>0.47989999999999999</v>
      </c>
      <c r="Y24" s="93" t="s">
        <v>241</v>
      </c>
      <c r="Z24" s="66" t="s">
        <v>123</v>
      </c>
    </row>
    <row r="25" spans="2:26">
      <c r="B25" s="7" t="s">
        <v>51</v>
      </c>
      <c r="C25" s="8">
        <v>1</v>
      </c>
      <c r="D25" s="176">
        <v>1</v>
      </c>
      <c r="E25" s="176">
        <v>1</v>
      </c>
      <c r="G25" s="98">
        <v>22</v>
      </c>
      <c r="H25" s="101">
        <v>22</v>
      </c>
      <c r="I25" s="102" t="s">
        <v>315</v>
      </c>
      <c r="J25" s="3"/>
      <c r="N25" s="9">
        <v>22</v>
      </c>
      <c r="O25" s="181" t="s">
        <v>49</v>
      </c>
      <c r="P25" s="26">
        <v>0.93200000000000005</v>
      </c>
      <c r="Q25" s="3"/>
      <c r="R25" s="9">
        <v>1</v>
      </c>
      <c r="S25" s="9">
        <v>1</v>
      </c>
      <c r="V25" s="3"/>
      <c r="W25" s="61" t="s">
        <v>54</v>
      </c>
      <c r="X25" s="151">
        <v>0.79979999999999996</v>
      </c>
      <c r="Y25" s="93" t="s">
        <v>241</v>
      </c>
      <c r="Z25" s="66" t="s">
        <v>124</v>
      </c>
    </row>
    <row r="26" spans="2:26">
      <c r="B26" s="7" t="s">
        <v>49</v>
      </c>
      <c r="C26" s="8">
        <v>0.93200000000000005</v>
      </c>
      <c r="D26" s="176">
        <v>0.97400000000000009</v>
      </c>
      <c r="E26" s="178"/>
      <c r="G26" s="98">
        <v>23</v>
      </c>
      <c r="H26" s="101">
        <v>23</v>
      </c>
      <c r="I26" s="102" t="s">
        <v>316</v>
      </c>
      <c r="J26" s="3"/>
      <c r="N26" s="9">
        <v>23</v>
      </c>
      <c r="O26" s="181" t="s">
        <v>23</v>
      </c>
      <c r="P26" s="26">
        <v>1.1459999999999999</v>
      </c>
      <c r="Q26" s="3"/>
      <c r="R26" s="9">
        <v>2</v>
      </c>
      <c r="S26" s="9">
        <v>2</v>
      </c>
      <c r="V26" s="3"/>
      <c r="W26" s="61" t="s">
        <v>55</v>
      </c>
      <c r="X26" s="151">
        <v>0.47989999999999999</v>
      </c>
      <c r="Y26" s="93" t="s">
        <v>241</v>
      </c>
      <c r="Z26" s="66" t="s">
        <v>125</v>
      </c>
    </row>
    <row r="27" spans="2:26">
      <c r="B27" s="7" t="s">
        <v>23</v>
      </c>
      <c r="C27" s="8">
        <v>1.1459999999999999</v>
      </c>
      <c r="D27" s="176">
        <v>1.145</v>
      </c>
      <c r="E27" s="176">
        <v>1.145</v>
      </c>
      <c r="I27" s="3"/>
      <c r="J27" s="3"/>
      <c r="N27" s="9">
        <v>24</v>
      </c>
      <c r="O27" s="181" t="s">
        <v>24</v>
      </c>
      <c r="P27" s="26">
        <v>0.80500000000000005</v>
      </c>
      <c r="Q27" s="3"/>
      <c r="R27" s="9">
        <v>3</v>
      </c>
      <c r="S27" s="9">
        <v>3</v>
      </c>
      <c r="T27" s="3"/>
      <c r="U27" s="3"/>
      <c r="V27" s="3"/>
      <c r="W27" s="61" t="s">
        <v>56</v>
      </c>
      <c r="X27" s="151">
        <v>0.1598</v>
      </c>
      <c r="Y27" s="93" t="s">
        <v>241</v>
      </c>
      <c r="Z27" s="67" t="s">
        <v>255</v>
      </c>
    </row>
    <row r="28" spans="2:26">
      <c r="B28" s="7" t="s">
        <v>24</v>
      </c>
      <c r="C28" s="8">
        <v>0.80500000000000005</v>
      </c>
      <c r="D28" s="176">
        <v>0.70900000000000007</v>
      </c>
      <c r="E28" s="178"/>
      <c r="I28" s="3"/>
      <c r="J28" s="3"/>
      <c r="N28" s="9">
        <v>25</v>
      </c>
      <c r="O28" s="181" t="s">
        <v>25</v>
      </c>
      <c r="P28" s="26">
        <v>0.96599999999999997</v>
      </c>
      <c r="Q28" s="3"/>
      <c r="R28" s="9">
        <v>4</v>
      </c>
      <c r="S28" s="9">
        <v>4</v>
      </c>
      <c r="T28" s="3"/>
      <c r="U28" s="3"/>
      <c r="V28" s="3"/>
      <c r="W28" s="61" t="s">
        <v>57</v>
      </c>
      <c r="X28" s="151">
        <v>7.7200000000000005E-2</v>
      </c>
      <c r="Y28" s="93" t="s">
        <v>241</v>
      </c>
      <c r="Z28" s="66" t="s">
        <v>126</v>
      </c>
    </row>
    <row r="29" spans="2:26">
      <c r="B29" s="7" t="s">
        <v>25</v>
      </c>
      <c r="C29" s="8">
        <v>0.96599999999999997</v>
      </c>
      <c r="D29" s="176">
        <v>0.90700000000000003</v>
      </c>
      <c r="E29" s="178"/>
      <c r="G29" s="16" t="s">
        <v>156</v>
      </c>
      <c r="H29" s="16" t="s">
        <v>231</v>
      </c>
      <c r="I29" s="3"/>
      <c r="J29" s="3"/>
      <c r="N29" s="9">
        <v>26</v>
      </c>
      <c r="O29" s="181" t="s">
        <v>26</v>
      </c>
      <c r="P29" s="26">
        <v>0.746</v>
      </c>
      <c r="Q29" s="3"/>
      <c r="R29" s="9">
        <v>5</v>
      </c>
      <c r="S29" s="9">
        <v>5</v>
      </c>
      <c r="T29" s="3"/>
      <c r="U29" s="3"/>
      <c r="V29" s="3"/>
      <c r="W29" s="61" t="s">
        <v>58</v>
      </c>
      <c r="X29" s="151">
        <v>0</v>
      </c>
      <c r="Y29" s="93" t="s">
        <v>241</v>
      </c>
      <c r="Z29" s="66"/>
    </row>
    <row r="30" spans="2:26">
      <c r="B30" s="7" t="s">
        <v>26</v>
      </c>
      <c r="C30" s="8">
        <v>0.746</v>
      </c>
      <c r="D30" s="176">
        <v>0.65300000000000002</v>
      </c>
      <c r="E30" s="178"/>
      <c r="G30" s="9">
        <v>1</v>
      </c>
      <c r="H30" s="9">
        <v>1</v>
      </c>
      <c r="I30" s="3"/>
      <c r="J30" s="3"/>
      <c r="N30" s="9">
        <v>27</v>
      </c>
      <c r="O30" s="181" t="s">
        <v>27</v>
      </c>
      <c r="P30" s="26">
        <v>0.84799999999999998</v>
      </c>
      <c r="Q30" s="3"/>
      <c r="R30" s="9">
        <v>6</v>
      </c>
      <c r="S30" s="9">
        <v>6</v>
      </c>
      <c r="T30" s="3"/>
      <c r="U30" s="3"/>
      <c r="V30" s="3"/>
      <c r="W30" s="61" t="s">
        <v>253</v>
      </c>
      <c r="X30" s="150">
        <v>239.93</v>
      </c>
      <c r="Y30" s="92" t="s">
        <v>241</v>
      </c>
      <c r="Z30" s="66"/>
    </row>
    <row r="31" spans="2:26">
      <c r="B31" s="7" t="s">
        <v>27</v>
      </c>
      <c r="C31" s="8">
        <v>0.84799999999999998</v>
      </c>
      <c r="D31" s="176">
        <v>0.86699999999999999</v>
      </c>
      <c r="E31" s="178"/>
      <c r="G31" s="9">
        <v>2</v>
      </c>
      <c r="H31" s="9">
        <v>2</v>
      </c>
      <c r="I31" s="3"/>
      <c r="J31" s="3"/>
      <c r="N31" s="9">
        <v>28</v>
      </c>
      <c r="O31" s="181" t="s">
        <v>28</v>
      </c>
      <c r="P31" s="26">
        <v>0.91900000000000004</v>
      </c>
      <c r="Q31" s="3"/>
      <c r="R31" s="9">
        <v>7</v>
      </c>
      <c r="S31" s="9">
        <v>7</v>
      </c>
      <c r="T31" s="3"/>
      <c r="U31" s="3"/>
      <c r="V31" s="3"/>
      <c r="W31" s="61" t="s">
        <v>254</v>
      </c>
      <c r="X31" s="150">
        <v>479.81</v>
      </c>
      <c r="Y31" s="92" t="s">
        <v>241</v>
      </c>
      <c r="Z31" s="68"/>
    </row>
    <row r="32" spans="2:26">
      <c r="B32" s="7" t="s">
        <v>28</v>
      </c>
      <c r="C32" s="8">
        <v>0.91900000000000004</v>
      </c>
      <c r="D32" s="176">
        <v>0.89200000000000002</v>
      </c>
      <c r="E32" s="178"/>
      <c r="G32" s="9">
        <v>3</v>
      </c>
      <c r="H32" s="9">
        <v>3</v>
      </c>
      <c r="I32" s="3"/>
      <c r="J32" s="3"/>
      <c r="N32" s="9">
        <v>29</v>
      </c>
      <c r="O32" s="181" t="s">
        <v>29</v>
      </c>
      <c r="P32" s="26">
        <v>0.94700000000000006</v>
      </c>
      <c r="Q32" s="3"/>
      <c r="T32" s="3"/>
      <c r="U32" s="3"/>
      <c r="V32" s="3"/>
      <c r="W32" s="146" t="s">
        <v>128</v>
      </c>
      <c r="X32" s="179"/>
      <c r="Y32" s="147"/>
      <c r="Z32" s="148" t="s">
        <v>142</v>
      </c>
    </row>
    <row r="33" spans="2:30">
      <c r="B33" s="7" t="s">
        <v>29</v>
      </c>
      <c r="C33" s="8">
        <v>0.94700000000000006</v>
      </c>
      <c r="D33" s="176">
        <v>0.91400000000000003</v>
      </c>
      <c r="E33" s="178"/>
      <c r="G33" s="9">
        <v>4</v>
      </c>
      <c r="H33" s="9">
        <v>4</v>
      </c>
      <c r="I33" s="3"/>
      <c r="J33" s="3"/>
      <c r="N33" s="9">
        <v>30</v>
      </c>
      <c r="O33" s="181" t="s">
        <v>30</v>
      </c>
      <c r="P33" s="26">
        <v>1.1579999999999999</v>
      </c>
      <c r="Q33" s="3"/>
      <c r="T33" s="3"/>
      <c r="U33" s="3"/>
      <c r="V33" s="3"/>
      <c r="W33" s="61" t="s">
        <v>120</v>
      </c>
      <c r="X33" s="150">
        <v>49.59</v>
      </c>
      <c r="Y33" s="92" t="s">
        <v>241</v>
      </c>
      <c r="Z33" s="62" t="s">
        <v>122</v>
      </c>
    </row>
    <row r="34" spans="2:30">
      <c r="B34" s="7" t="s">
        <v>30</v>
      </c>
      <c r="C34" s="8">
        <v>1.1579999999999999</v>
      </c>
      <c r="D34" s="176">
        <v>1.099</v>
      </c>
      <c r="E34" s="176">
        <v>1.099</v>
      </c>
      <c r="G34" s="9">
        <v>5</v>
      </c>
      <c r="H34" s="9">
        <v>5</v>
      </c>
      <c r="I34" s="3"/>
      <c r="J34" s="3"/>
      <c r="Q34" s="3"/>
      <c r="T34" s="3"/>
      <c r="U34" s="3"/>
      <c r="V34" s="3"/>
      <c r="W34" s="61" t="s">
        <v>144</v>
      </c>
      <c r="X34" s="150">
        <v>40</v>
      </c>
      <c r="Y34" s="92" t="s">
        <v>241</v>
      </c>
      <c r="Z34" s="62" t="s">
        <v>121</v>
      </c>
    </row>
    <row r="35" spans="2:30">
      <c r="B35" s="7" t="s">
        <v>31</v>
      </c>
      <c r="C35" s="178"/>
      <c r="D35" s="178"/>
      <c r="E35" s="176">
        <v>1.3</v>
      </c>
      <c r="I35" s="3"/>
      <c r="J35" s="3"/>
      <c r="Q35" s="3"/>
      <c r="T35" s="3"/>
      <c r="U35" s="3"/>
      <c r="V35" s="3"/>
      <c r="W35" s="146" t="s">
        <v>3</v>
      </c>
      <c r="X35" s="179"/>
      <c r="Y35" s="147"/>
      <c r="Z35" s="148" t="s">
        <v>143</v>
      </c>
    </row>
    <row r="36" spans="2:30">
      <c r="Q36" s="3"/>
      <c r="T36" s="3"/>
      <c r="U36" s="3"/>
      <c r="W36" s="61" t="s">
        <v>120</v>
      </c>
      <c r="X36" s="150" t="s">
        <v>135</v>
      </c>
      <c r="Y36" s="92" t="s">
        <v>241</v>
      </c>
      <c r="Z36" s="69" t="s">
        <v>137</v>
      </c>
    </row>
    <row r="37" spans="2:30">
      <c r="Q37" s="3"/>
      <c r="R37" s="3"/>
      <c r="S37" s="3"/>
      <c r="T37" s="3"/>
      <c r="U37" s="3"/>
      <c r="W37" s="61" t="s">
        <v>144</v>
      </c>
      <c r="X37" s="150" t="s">
        <v>136</v>
      </c>
      <c r="Y37" s="92" t="s">
        <v>241</v>
      </c>
      <c r="Z37" s="69" t="s">
        <v>138</v>
      </c>
    </row>
    <row r="38" spans="2:30">
      <c r="N38" s="3"/>
      <c r="O38" s="3"/>
      <c r="P38" s="3"/>
      <c r="Q38" s="3"/>
      <c r="R38" s="3"/>
      <c r="S38" s="3"/>
      <c r="T38" s="3"/>
      <c r="U38" s="3"/>
      <c r="W38" s="146" t="s">
        <v>131</v>
      </c>
      <c r="X38" s="179"/>
      <c r="Y38" s="147"/>
      <c r="Z38" s="148" t="s">
        <v>218</v>
      </c>
    </row>
    <row r="39" spans="2:30" ht="15">
      <c r="B39" s="432" t="s">
        <v>104</v>
      </c>
      <c r="C39" s="432"/>
      <c r="D39" s="432"/>
      <c r="E39" s="432"/>
      <c r="F39" s="432"/>
      <c r="G39" s="432"/>
      <c r="H39" s="432"/>
      <c r="N39" s="3"/>
      <c r="O39" s="3"/>
      <c r="P39" s="3"/>
      <c r="Q39" s="3"/>
      <c r="R39" s="3"/>
      <c r="S39" s="3"/>
      <c r="T39" s="3"/>
      <c r="U39" s="3"/>
      <c r="W39" s="61" t="s">
        <v>120</v>
      </c>
      <c r="X39" s="150">
        <v>1411.82</v>
      </c>
      <c r="Y39" s="153">
        <v>1061.93</v>
      </c>
      <c r="Z39" s="70" t="s">
        <v>130</v>
      </c>
    </row>
    <row r="40" spans="2:30">
      <c r="B40" s="11">
        <v>45108</v>
      </c>
      <c r="F40" s="429" t="s">
        <v>64</v>
      </c>
      <c r="G40" s="430"/>
      <c r="H40" s="430"/>
      <c r="I40" s="430"/>
      <c r="J40" s="431"/>
      <c r="N40" s="3"/>
      <c r="O40" s="3"/>
      <c r="P40" s="3"/>
      <c r="Q40" s="3"/>
      <c r="R40" s="3"/>
      <c r="S40" s="3"/>
      <c r="T40" s="3"/>
      <c r="U40" s="3"/>
      <c r="W40" s="61" t="s">
        <v>144</v>
      </c>
      <c r="X40" s="150">
        <v>839.45</v>
      </c>
      <c r="Y40" s="153">
        <v>629.61</v>
      </c>
      <c r="Z40" s="60" t="s">
        <v>134</v>
      </c>
    </row>
    <row r="41" spans="2:30">
      <c r="B41" s="23" t="s">
        <v>238</v>
      </c>
      <c r="C41" s="25" t="s">
        <v>158</v>
      </c>
      <c r="D41" s="20" t="s">
        <v>65</v>
      </c>
      <c r="E41" s="21" t="s">
        <v>62</v>
      </c>
      <c r="F41" s="19" t="s">
        <v>148</v>
      </c>
      <c r="G41" s="19" t="s">
        <v>149</v>
      </c>
      <c r="H41" s="19" t="s">
        <v>150</v>
      </c>
      <c r="I41" s="19" t="s">
        <v>151</v>
      </c>
      <c r="J41" s="19" t="s">
        <v>152</v>
      </c>
      <c r="N41" s="3"/>
      <c r="O41" s="3"/>
      <c r="P41" s="3"/>
      <c r="Q41" s="3"/>
      <c r="R41" s="3"/>
      <c r="S41" s="3"/>
      <c r="T41" s="3"/>
      <c r="U41" s="3"/>
      <c r="V41" s="12"/>
      <c r="W41" s="146" t="s">
        <v>139</v>
      </c>
      <c r="X41" s="179"/>
      <c r="Y41" s="147"/>
      <c r="Z41" s="148" t="s">
        <v>140</v>
      </c>
      <c r="AC41" s="5"/>
      <c r="AD41" s="5"/>
    </row>
    <row r="42" spans="2:30">
      <c r="B42" s="117">
        <v>1</v>
      </c>
      <c r="C42" s="118" t="s">
        <v>159</v>
      </c>
      <c r="D42" s="119" t="s">
        <v>78</v>
      </c>
      <c r="E42" s="120">
        <v>16</v>
      </c>
      <c r="F42" s="121">
        <v>21423.29</v>
      </c>
      <c r="G42" s="121">
        <v>22323.53</v>
      </c>
      <c r="H42" s="121">
        <v>23261.59</v>
      </c>
      <c r="I42" s="122"/>
      <c r="J42" s="123"/>
      <c r="N42" s="3"/>
      <c r="O42" s="3"/>
      <c r="P42" s="3"/>
      <c r="Q42" s="3"/>
      <c r="R42" s="3"/>
      <c r="S42" s="3"/>
      <c r="T42" s="3"/>
      <c r="U42" s="3"/>
      <c r="V42" s="12"/>
      <c r="W42" s="61" t="s">
        <v>120</v>
      </c>
      <c r="X42" s="150" t="s">
        <v>135</v>
      </c>
      <c r="Y42" s="92" t="s">
        <v>241</v>
      </c>
      <c r="Z42" s="70" t="s">
        <v>137</v>
      </c>
      <c r="AC42" s="5"/>
      <c r="AD42" s="5"/>
    </row>
    <row r="43" spans="2:30">
      <c r="B43" s="124">
        <v>2</v>
      </c>
      <c r="C43" s="125" t="s">
        <v>160</v>
      </c>
      <c r="D43" s="119" t="s">
        <v>79</v>
      </c>
      <c r="E43" s="120">
        <v>15</v>
      </c>
      <c r="F43" s="121">
        <v>18934.61</v>
      </c>
      <c r="G43" s="121">
        <v>19730.28</v>
      </c>
      <c r="H43" s="121">
        <v>20559.349999999999</v>
      </c>
      <c r="I43" s="121">
        <v>21131.35</v>
      </c>
      <c r="J43" s="126">
        <v>21423.29</v>
      </c>
      <c r="N43" s="3"/>
      <c r="O43" s="3"/>
      <c r="P43" s="3"/>
      <c r="Q43" s="3"/>
      <c r="R43" s="3"/>
      <c r="S43" s="3"/>
      <c r="T43" s="3"/>
      <c r="U43" s="3"/>
      <c r="V43" s="12"/>
      <c r="W43" s="61" t="s">
        <v>144</v>
      </c>
      <c r="X43" s="150" t="s">
        <v>136</v>
      </c>
      <c r="Y43" s="92" t="s">
        <v>241</v>
      </c>
      <c r="Z43" s="62" t="s">
        <v>138</v>
      </c>
      <c r="AC43" s="5"/>
      <c r="AD43" s="5"/>
    </row>
    <row r="44" spans="2:30">
      <c r="B44" s="124">
        <v>3</v>
      </c>
      <c r="C44" s="125" t="s">
        <v>161</v>
      </c>
      <c r="D44" s="119" t="s">
        <v>80</v>
      </c>
      <c r="E44" s="120">
        <v>14</v>
      </c>
      <c r="F44" s="121">
        <v>16735</v>
      </c>
      <c r="G44" s="121">
        <v>17438.259999999998</v>
      </c>
      <c r="H44" s="121">
        <v>18171.03</v>
      </c>
      <c r="I44" s="121">
        <v>18676.57</v>
      </c>
      <c r="J44" s="126">
        <v>18934.61</v>
      </c>
      <c r="N44" s="3"/>
      <c r="O44" s="3"/>
      <c r="P44" s="3"/>
      <c r="Q44" s="3"/>
      <c r="R44" s="3"/>
      <c r="S44" s="3"/>
      <c r="T44" s="3"/>
      <c r="U44" s="3"/>
      <c r="V44" s="12"/>
      <c r="W44" s="146" t="s">
        <v>129</v>
      </c>
      <c r="X44" s="179"/>
      <c r="Y44" s="147"/>
      <c r="Z44" s="148" t="s">
        <v>219</v>
      </c>
      <c r="AC44" s="5"/>
      <c r="AD44" s="5"/>
    </row>
    <row r="45" spans="2:30">
      <c r="B45" s="124">
        <v>4</v>
      </c>
      <c r="C45" s="125" t="s">
        <v>162</v>
      </c>
      <c r="D45" s="119" t="s">
        <v>81</v>
      </c>
      <c r="E45" s="120">
        <v>13</v>
      </c>
      <c r="F45" s="121">
        <v>14790.98</v>
      </c>
      <c r="G45" s="121">
        <v>15412.5</v>
      </c>
      <c r="H45" s="121">
        <v>16060.14</v>
      </c>
      <c r="I45" s="121">
        <v>16506.990000000002</v>
      </c>
      <c r="J45" s="126">
        <v>16735</v>
      </c>
      <c r="N45" s="3"/>
      <c r="O45" s="3"/>
      <c r="P45" s="3"/>
      <c r="Q45" s="3"/>
      <c r="R45" s="3"/>
      <c r="S45" s="3"/>
      <c r="T45" s="3"/>
      <c r="U45" s="3"/>
      <c r="V45" s="12"/>
      <c r="W45" s="61" t="s">
        <v>60</v>
      </c>
      <c r="X45" s="150">
        <v>1693.18</v>
      </c>
      <c r="Y45" s="153">
        <v>1269.8900000000001</v>
      </c>
      <c r="Z45" s="62"/>
      <c r="AC45" s="5"/>
      <c r="AD45" s="5"/>
    </row>
    <row r="46" spans="2:30">
      <c r="B46" s="124">
        <v>5</v>
      </c>
      <c r="C46" s="125" t="s">
        <v>163</v>
      </c>
      <c r="D46" s="119" t="s">
        <v>82</v>
      </c>
      <c r="E46" s="120">
        <v>12</v>
      </c>
      <c r="F46" s="121">
        <v>13072.74</v>
      </c>
      <c r="G46" s="121">
        <v>13622.07</v>
      </c>
      <c r="H46" s="121">
        <v>14194.5</v>
      </c>
      <c r="I46" s="121">
        <v>14589.4</v>
      </c>
      <c r="J46" s="126">
        <v>14790.98</v>
      </c>
      <c r="N46" s="3"/>
      <c r="O46" s="3"/>
      <c r="P46" s="3"/>
      <c r="Q46" s="3"/>
      <c r="R46" s="3"/>
      <c r="S46" s="3"/>
      <c r="T46" s="3"/>
      <c r="U46" s="3"/>
      <c r="V46" s="12"/>
      <c r="W46" s="61" t="s">
        <v>59</v>
      </c>
      <c r="X46" s="150">
        <v>3386.39</v>
      </c>
      <c r="Y46" s="153">
        <v>2539.75</v>
      </c>
      <c r="Z46" s="62"/>
    </row>
    <row r="47" spans="2:30">
      <c r="B47" s="124">
        <v>6</v>
      </c>
      <c r="C47" s="125" t="s">
        <v>164</v>
      </c>
      <c r="D47" s="119" t="s">
        <v>83</v>
      </c>
      <c r="E47" s="120">
        <v>11</v>
      </c>
      <c r="F47" s="121">
        <v>11554.11</v>
      </c>
      <c r="G47" s="121">
        <v>12039.62</v>
      </c>
      <c r="H47" s="121">
        <v>12545.54</v>
      </c>
      <c r="I47" s="121">
        <v>12894.59</v>
      </c>
      <c r="J47" s="126">
        <v>13072.74</v>
      </c>
      <c r="N47" s="3"/>
      <c r="O47" s="3"/>
      <c r="P47" s="3"/>
      <c r="Q47" s="3"/>
      <c r="R47" s="3"/>
      <c r="S47" s="3"/>
      <c r="T47" s="3"/>
      <c r="U47" s="3"/>
      <c r="V47" s="12"/>
      <c r="W47" s="146" t="s">
        <v>61</v>
      </c>
      <c r="X47" s="179"/>
      <c r="Y47" s="147"/>
      <c r="Z47" s="148" t="s">
        <v>220</v>
      </c>
    </row>
    <row r="48" spans="2:30">
      <c r="B48" s="124">
        <v>7</v>
      </c>
      <c r="C48" s="125" t="s">
        <v>165</v>
      </c>
      <c r="D48" s="127" t="s">
        <v>84</v>
      </c>
      <c r="E48" s="120">
        <v>10</v>
      </c>
      <c r="F48" s="121">
        <v>10211.93</v>
      </c>
      <c r="G48" s="121">
        <v>10641.03</v>
      </c>
      <c r="H48" s="121">
        <v>11088.19</v>
      </c>
      <c r="I48" s="121">
        <v>11396.67</v>
      </c>
      <c r="J48" s="126">
        <v>11554.11</v>
      </c>
      <c r="N48" s="3"/>
      <c r="O48" s="3"/>
      <c r="P48" s="3"/>
      <c r="Q48" s="3"/>
      <c r="R48" s="3"/>
      <c r="S48" s="3"/>
      <c r="T48" s="3"/>
      <c r="U48" s="3"/>
      <c r="V48" s="12"/>
      <c r="W48" s="61" t="s">
        <v>15</v>
      </c>
      <c r="X48" s="150">
        <v>1539.27</v>
      </c>
      <c r="Y48" s="153">
        <v>1154.45</v>
      </c>
      <c r="Z48" s="62"/>
    </row>
    <row r="49" spans="2:28">
      <c r="B49" s="124">
        <v>8</v>
      </c>
      <c r="C49" s="125" t="s">
        <v>166</v>
      </c>
      <c r="D49" s="127" t="s">
        <v>85</v>
      </c>
      <c r="E49" s="120">
        <v>9</v>
      </c>
      <c r="F49" s="121">
        <v>9025.6200000000008</v>
      </c>
      <c r="G49" s="121">
        <v>9404.89</v>
      </c>
      <c r="H49" s="121">
        <v>9800.1200000000008</v>
      </c>
      <c r="I49" s="121">
        <v>10072.75</v>
      </c>
      <c r="J49" s="126">
        <v>10211.93</v>
      </c>
      <c r="N49" s="3"/>
      <c r="O49" s="3"/>
      <c r="P49" s="3"/>
      <c r="Q49" s="3"/>
      <c r="R49" s="3"/>
      <c r="S49" s="3"/>
      <c r="T49" s="3"/>
      <c r="U49" s="3"/>
      <c r="V49" s="12"/>
      <c r="W49" s="146" t="s">
        <v>196</v>
      </c>
      <c r="X49" s="179"/>
      <c r="Y49" s="147"/>
      <c r="Z49" s="148" t="s">
        <v>223</v>
      </c>
      <c r="AA49" s="17"/>
      <c r="AB49" s="17"/>
    </row>
    <row r="50" spans="2:28">
      <c r="B50" s="124">
        <v>9</v>
      </c>
      <c r="C50" s="125" t="s">
        <v>167</v>
      </c>
      <c r="D50" s="127" t="s">
        <v>86</v>
      </c>
      <c r="E50" s="120">
        <v>8</v>
      </c>
      <c r="F50" s="121">
        <v>7977.14</v>
      </c>
      <c r="G50" s="121">
        <v>8312.35</v>
      </c>
      <c r="H50" s="121">
        <v>8661.64</v>
      </c>
      <c r="I50" s="121">
        <v>8902.6299999999992</v>
      </c>
      <c r="J50" s="126">
        <v>9025.6200000000008</v>
      </c>
      <c r="N50" s="3"/>
      <c r="O50" s="3"/>
      <c r="P50" s="3"/>
      <c r="Q50" s="3"/>
      <c r="R50" s="3"/>
      <c r="S50" s="3"/>
      <c r="T50" s="3"/>
      <c r="U50" s="3"/>
      <c r="V50" s="12"/>
      <c r="W50" s="61" t="s">
        <v>69</v>
      </c>
      <c r="X50" s="152">
        <v>6.9855</v>
      </c>
      <c r="Y50" s="94" t="s">
        <v>241</v>
      </c>
      <c r="Z50" s="71"/>
      <c r="AA50" s="17"/>
      <c r="AB50" s="17"/>
    </row>
    <row r="51" spans="2:28">
      <c r="B51" s="124">
        <v>10</v>
      </c>
      <c r="C51" s="125" t="s">
        <v>168</v>
      </c>
      <c r="D51" s="127" t="s">
        <v>87</v>
      </c>
      <c r="E51" s="120">
        <v>7</v>
      </c>
      <c r="F51" s="121">
        <v>7050.47</v>
      </c>
      <c r="G51" s="121">
        <v>7346.74</v>
      </c>
      <c r="H51" s="121">
        <v>7655.45</v>
      </c>
      <c r="I51" s="121">
        <v>7868.45</v>
      </c>
      <c r="J51" s="126">
        <v>7977.14</v>
      </c>
      <c r="N51" s="3"/>
      <c r="O51" s="3"/>
      <c r="P51" s="3"/>
      <c r="Q51" s="3"/>
      <c r="R51" s="3"/>
      <c r="S51" s="3"/>
      <c r="T51" s="3"/>
      <c r="U51" s="3"/>
      <c r="V51" s="12"/>
      <c r="W51" s="146" t="s">
        <v>221</v>
      </c>
      <c r="X51" s="179"/>
      <c r="Y51" s="147"/>
      <c r="Z51" s="148" t="s">
        <v>257</v>
      </c>
      <c r="AA51" s="17"/>
      <c r="AB51" s="17"/>
    </row>
    <row r="52" spans="2:28">
      <c r="B52" s="124">
        <v>11</v>
      </c>
      <c r="C52" s="125" t="s">
        <v>169</v>
      </c>
      <c r="D52" s="127" t="s">
        <v>88</v>
      </c>
      <c r="E52" s="120">
        <v>6</v>
      </c>
      <c r="F52" s="121">
        <v>6231.42</v>
      </c>
      <c r="G52" s="121">
        <v>6493.29</v>
      </c>
      <c r="H52" s="121">
        <v>6766.13</v>
      </c>
      <c r="I52" s="121">
        <v>6954.39</v>
      </c>
      <c r="J52" s="126">
        <v>7050.47</v>
      </c>
      <c r="K52" s="175"/>
      <c r="L52" s="3"/>
      <c r="M52" s="3"/>
      <c r="N52" s="3"/>
      <c r="O52" s="3"/>
      <c r="P52" s="3"/>
      <c r="Q52" s="3"/>
      <c r="R52" s="3"/>
      <c r="S52" s="3"/>
      <c r="T52" s="3"/>
      <c r="U52" s="3"/>
      <c r="V52" s="12"/>
      <c r="W52" s="61" t="s">
        <v>224</v>
      </c>
      <c r="X52" s="150">
        <v>483.92</v>
      </c>
      <c r="Y52" s="94" t="s">
        <v>241</v>
      </c>
      <c r="Z52" s="433"/>
      <c r="AA52" s="17"/>
      <c r="AB52" s="17"/>
    </row>
    <row r="53" spans="2:28" ht="13.5" thickBot="1">
      <c r="B53" s="128">
        <v>12</v>
      </c>
      <c r="C53" s="129" t="s">
        <v>170</v>
      </c>
      <c r="D53" s="130" t="s">
        <v>76</v>
      </c>
      <c r="E53" s="131">
        <v>5</v>
      </c>
      <c r="F53" s="132">
        <v>5507.55</v>
      </c>
      <c r="G53" s="132">
        <v>5738.98</v>
      </c>
      <c r="H53" s="132">
        <v>5980.14</v>
      </c>
      <c r="I53" s="132">
        <v>6146.53</v>
      </c>
      <c r="J53" s="133">
        <v>6231.42</v>
      </c>
      <c r="K53" s="175"/>
      <c r="L53" s="3"/>
      <c r="M53" s="3"/>
      <c r="N53" s="3"/>
      <c r="O53" s="3"/>
      <c r="P53" s="3"/>
      <c r="Q53" s="3"/>
      <c r="R53" s="3"/>
      <c r="S53" s="3"/>
      <c r="T53" s="3"/>
      <c r="U53" s="3"/>
      <c r="V53" s="12"/>
      <c r="W53" s="61" t="s">
        <v>225</v>
      </c>
      <c r="X53" s="150">
        <v>730.4</v>
      </c>
      <c r="Y53" s="94" t="s">
        <v>241</v>
      </c>
      <c r="Z53" s="434"/>
      <c r="AA53" s="17"/>
      <c r="AB53" s="17"/>
    </row>
    <row r="54" spans="2:28" ht="13.5" customHeight="1" thickTop="1">
      <c r="B54" s="134">
        <v>13</v>
      </c>
      <c r="C54" s="118" t="s">
        <v>171</v>
      </c>
      <c r="D54" s="135" t="s">
        <v>108</v>
      </c>
      <c r="E54" s="136">
        <v>11</v>
      </c>
      <c r="F54" s="137">
        <v>11554.11</v>
      </c>
      <c r="G54" s="137">
        <v>12039.62</v>
      </c>
      <c r="H54" s="137">
        <v>12545.54</v>
      </c>
      <c r="I54" s="137">
        <v>12894.59</v>
      </c>
      <c r="J54" s="138">
        <v>13072.74</v>
      </c>
      <c r="K54" s="175"/>
      <c r="L54" s="3"/>
      <c r="M54" s="3"/>
      <c r="N54" s="3"/>
      <c r="O54" s="3"/>
      <c r="P54" s="3"/>
      <c r="Q54" s="3"/>
      <c r="R54" s="3"/>
      <c r="S54" s="3"/>
      <c r="T54" s="3"/>
      <c r="U54" s="3"/>
      <c r="V54" s="12"/>
      <c r="W54" s="61" t="s">
        <v>226</v>
      </c>
      <c r="X54" s="150">
        <v>798.61</v>
      </c>
      <c r="Y54" s="94" t="s">
        <v>241</v>
      </c>
      <c r="Z54" s="434"/>
      <c r="AA54" s="17"/>
      <c r="AB54" s="17"/>
    </row>
    <row r="55" spans="2:28">
      <c r="B55" s="124">
        <v>14</v>
      </c>
      <c r="C55" s="118" t="s">
        <v>172</v>
      </c>
      <c r="D55" s="135" t="s">
        <v>109</v>
      </c>
      <c r="E55" s="136">
        <v>10</v>
      </c>
      <c r="F55" s="137">
        <v>10211.93</v>
      </c>
      <c r="G55" s="137">
        <v>10641.03</v>
      </c>
      <c r="H55" s="137">
        <v>11088.19</v>
      </c>
      <c r="I55" s="137">
        <v>11396.67</v>
      </c>
      <c r="J55" s="138">
        <v>11554.11</v>
      </c>
      <c r="K55" s="175"/>
      <c r="L55" s="3"/>
      <c r="M55" s="3"/>
      <c r="N55" s="3"/>
      <c r="O55" s="3"/>
      <c r="P55" s="3"/>
      <c r="Q55" s="3"/>
      <c r="R55" s="3"/>
      <c r="S55" s="3"/>
      <c r="T55" s="3"/>
      <c r="U55" s="3"/>
      <c r="V55" s="12"/>
      <c r="W55" s="61" t="s">
        <v>227</v>
      </c>
      <c r="X55" s="150">
        <v>1088.75</v>
      </c>
      <c r="Y55" s="94" t="s">
        <v>241</v>
      </c>
      <c r="Z55" s="435"/>
      <c r="AA55" s="17"/>
      <c r="AB55" s="17"/>
    </row>
    <row r="56" spans="2:28" ht="14.25" customHeight="1">
      <c r="B56" s="124">
        <v>15</v>
      </c>
      <c r="C56" s="118" t="s">
        <v>173</v>
      </c>
      <c r="D56" s="135" t="s">
        <v>89</v>
      </c>
      <c r="E56" s="136">
        <v>9</v>
      </c>
      <c r="F56" s="137">
        <v>9025.6200000000008</v>
      </c>
      <c r="G56" s="137">
        <v>9404.89</v>
      </c>
      <c r="H56" s="137">
        <v>9800.1200000000008</v>
      </c>
      <c r="I56" s="137">
        <v>10072.75</v>
      </c>
      <c r="J56" s="138">
        <v>10211.93</v>
      </c>
      <c r="K56" s="175"/>
      <c r="L56" s="3"/>
      <c r="M56" s="3"/>
      <c r="N56" s="3"/>
      <c r="O56" s="3"/>
      <c r="P56" s="3"/>
      <c r="Q56" s="3"/>
      <c r="R56" s="3"/>
      <c r="S56" s="12"/>
      <c r="T56" s="12"/>
      <c r="U56" s="12"/>
      <c r="V56" s="12"/>
      <c r="W56" s="12"/>
      <c r="X56" s="12"/>
      <c r="Y56" s="12"/>
      <c r="Z56" s="12"/>
      <c r="AA56" s="12"/>
      <c r="AB56" s="17"/>
    </row>
    <row r="57" spans="2:28">
      <c r="B57" s="124">
        <v>16</v>
      </c>
      <c r="C57" s="125" t="s">
        <v>174</v>
      </c>
      <c r="D57" s="139" t="s">
        <v>90</v>
      </c>
      <c r="E57" s="120">
        <v>8</v>
      </c>
      <c r="F57" s="121">
        <v>7977.14</v>
      </c>
      <c r="G57" s="121">
        <v>8312.35</v>
      </c>
      <c r="H57" s="121">
        <v>8661.64</v>
      </c>
      <c r="I57" s="121">
        <v>8902.6299999999992</v>
      </c>
      <c r="J57" s="126">
        <v>9025.6200000000008</v>
      </c>
      <c r="K57" s="175"/>
      <c r="L57" s="12"/>
      <c r="M57" s="12"/>
      <c r="N57" s="12"/>
      <c r="O57" s="12"/>
      <c r="P57" s="12"/>
      <c r="Q57" s="12"/>
      <c r="R57" s="12"/>
      <c r="S57" s="12"/>
      <c r="T57" s="12"/>
      <c r="U57" s="12"/>
      <c r="V57" s="12"/>
      <c r="W57" s="57" t="s">
        <v>132</v>
      </c>
      <c r="X57" s="12"/>
      <c r="Y57" s="12"/>
      <c r="AA57" s="12"/>
      <c r="AB57" s="17"/>
    </row>
    <row r="58" spans="2:28">
      <c r="B58" s="124">
        <v>17</v>
      </c>
      <c r="C58" s="125" t="s">
        <v>175</v>
      </c>
      <c r="D58" s="139" t="s">
        <v>91</v>
      </c>
      <c r="E58" s="120">
        <v>7</v>
      </c>
      <c r="F58" s="121">
        <v>7050.47</v>
      </c>
      <c r="G58" s="121">
        <v>7346.74</v>
      </c>
      <c r="H58" s="121">
        <v>7655.45</v>
      </c>
      <c r="I58" s="121">
        <v>7868.45</v>
      </c>
      <c r="J58" s="126">
        <v>7977.14</v>
      </c>
      <c r="K58" s="175"/>
      <c r="L58" s="12"/>
      <c r="M58" s="12"/>
      <c r="N58" s="12"/>
      <c r="O58" s="12"/>
      <c r="P58" s="12"/>
      <c r="Q58" s="12"/>
      <c r="R58" s="12"/>
      <c r="S58" s="12"/>
      <c r="T58" s="12"/>
      <c r="U58" s="12"/>
      <c r="V58" s="12"/>
      <c r="W58" s="57" t="s">
        <v>133</v>
      </c>
      <c r="X58" s="12"/>
      <c r="Y58" s="12"/>
      <c r="AA58" s="12"/>
      <c r="AB58" s="17"/>
    </row>
    <row r="59" spans="2:28">
      <c r="B59" s="124">
        <v>18</v>
      </c>
      <c r="C59" s="125" t="s">
        <v>176</v>
      </c>
      <c r="D59" s="139" t="s">
        <v>92</v>
      </c>
      <c r="E59" s="120">
        <v>6</v>
      </c>
      <c r="F59" s="121">
        <v>6231.42</v>
      </c>
      <c r="G59" s="121">
        <v>6493.29</v>
      </c>
      <c r="H59" s="121">
        <v>6766.13</v>
      </c>
      <c r="I59" s="121">
        <v>6954.39</v>
      </c>
      <c r="J59" s="126">
        <v>7050.47</v>
      </c>
      <c r="K59" s="12"/>
      <c r="L59" s="12"/>
      <c r="M59" s="12"/>
      <c r="N59" s="12"/>
      <c r="O59" s="12"/>
      <c r="P59" s="12"/>
      <c r="Q59" s="12"/>
      <c r="R59" s="12"/>
      <c r="S59" s="12"/>
      <c r="T59" s="12"/>
      <c r="U59" s="12"/>
      <c r="V59" s="12"/>
      <c r="W59" s="12"/>
      <c r="X59" s="12"/>
      <c r="Y59" s="12"/>
      <c r="Z59" s="12"/>
      <c r="AA59" s="12"/>
      <c r="AB59" s="17"/>
    </row>
    <row r="60" spans="2:28">
      <c r="B60" s="124">
        <v>19</v>
      </c>
      <c r="C60" s="125" t="s">
        <v>177</v>
      </c>
      <c r="D60" s="139" t="s">
        <v>93</v>
      </c>
      <c r="E60" s="120">
        <v>5</v>
      </c>
      <c r="F60" s="121">
        <v>5507.55</v>
      </c>
      <c r="G60" s="121">
        <v>5738.98</v>
      </c>
      <c r="H60" s="121">
        <v>5980.14</v>
      </c>
      <c r="I60" s="121">
        <v>6146.53</v>
      </c>
      <c r="J60" s="126">
        <v>6231.42</v>
      </c>
      <c r="K60" s="12"/>
      <c r="L60" s="12"/>
      <c r="M60" s="12"/>
      <c r="N60" s="12"/>
      <c r="O60" s="12"/>
      <c r="P60" s="12"/>
      <c r="Q60" s="12"/>
      <c r="R60" s="12"/>
      <c r="S60" s="12"/>
      <c r="T60" s="12"/>
      <c r="U60" s="12"/>
      <c r="V60" s="12"/>
      <c r="X60" s="57"/>
      <c r="Y60" s="57"/>
      <c r="Z60" s="57"/>
      <c r="AA60" s="17"/>
      <c r="AB60" s="17"/>
    </row>
    <row r="61" spans="2:28">
      <c r="B61" s="124">
        <v>20</v>
      </c>
      <c r="C61" s="125" t="s">
        <v>178</v>
      </c>
      <c r="D61" s="139" t="s">
        <v>94</v>
      </c>
      <c r="E61" s="120">
        <v>4</v>
      </c>
      <c r="F61" s="121">
        <v>4867.76</v>
      </c>
      <c r="G61" s="121">
        <v>5072.29</v>
      </c>
      <c r="H61" s="121">
        <v>5285.44</v>
      </c>
      <c r="I61" s="121">
        <v>5432.5</v>
      </c>
      <c r="J61" s="126">
        <v>5507.55</v>
      </c>
      <c r="K61" s="174"/>
      <c r="L61" s="12"/>
      <c r="M61" s="12"/>
      <c r="N61" s="12"/>
      <c r="O61" s="12"/>
      <c r="P61" s="12"/>
      <c r="Q61" s="12"/>
      <c r="R61" s="12"/>
      <c r="S61" s="12"/>
      <c r="T61" s="12"/>
      <c r="U61" s="12"/>
      <c r="V61" s="12"/>
      <c r="AA61" s="17"/>
      <c r="AB61" s="17"/>
    </row>
    <row r="62" spans="2:28" ht="12.75" customHeight="1">
      <c r="B62" s="124">
        <v>21</v>
      </c>
      <c r="C62" s="125" t="s">
        <v>179</v>
      </c>
      <c r="D62" s="139" t="s">
        <v>95</v>
      </c>
      <c r="E62" s="120">
        <v>3</v>
      </c>
      <c r="F62" s="121">
        <v>4302.25</v>
      </c>
      <c r="G62" s="121">
        <v>4483.07</v>
      </c>
      <c r="H62" s="121">
        <v>4671.45</v>
      </c>
      <c r="I62" s="121">
        <v>4801.3999999999996</v>
      </c>
      <c r="J62" s="126">
        <v>4867.76</v>
      </c>
      <c r="K62" s="12"/>
      <c r="T62" s="12"/>
      <c r="U62" s="12"/>
      <c r="V62" s="12"/>
      <c r="AA62" s="17"/>
      <c r="AB62" s="17"/>
    </row>
    <row r="63" spans="2:28">
      <c r="B63" s="124">
        <v>22</v>
      </c>
      <c r="C63" s="125" t="s">
        <v>180</v>
      </c>
      <c r="D63" s="139" t="s">
        <v>96</v>
      </c>
      <c r="E63" s="120">
        <v>2</v>
      </c>
      <c r="F63" s="121">
        <v>3802.49</v>
      </c>
      <c r="G63" s="121">
        <v>3962.27</v>
      </c>
      <c r="H63" s="121">
        <v>4128.7700000000004</v>
      </c>
      <c r="I63" s="121">
        <v>4243.6499999999996</v>
      </c>
      <c r="J63" s="126">
        <v>4302.25</v>
      </c>
      <c r="K63" s="175"/>
      <c r="L63" s="12"/>
      <c r="M63" s="12"/>
      <c r="N63" s="12"/>
      <c r="O63" s="12"/>
      <c r="P63" s="12"/>
      <c r="Q63" s="12"/>
      <c r="R63" s="12"/>
      <c r="S63" s="12"/>
      <c r="T63" s="12"/>
      <c r="U63" s="12"/>
      <c r="V63" s="12"/>
      <c r="AA63" s="17"/>
      <c r="AB63" s="17"/>
    </row>
    <row r="64" spans="2:28" ht="13.5" thickBot="1">
      <c r="B64" s="128">
        <v>23</v>
      </c>
      <c r="C64" s="129" t="s">
        <v>181</v>
      </c>
      <c r="D64" s="140" t="s">
        <v>97</v>
      </c>
      <c r="E64" s="131">
        <v>1</v>
      </c>
      <c r="F64" s="132">
        <v>3360.76</v>
      </c>
      <c r="G64" s="132">
        <v>3501.98</v>
      </c>
      <c r="H64" s="132">
        <v>3649.13</v>
      </c>
      <c r="I64" s="132">
        <v>3750.7</v>
      </c>
      <c r="J64" s="133">
        <v>3802.49</v>
      </c>
      <c r="K64" s="175"/>
      <c r="L64" s="12"/>
      <c r="M64" s="12"/>
      <c r="N64" s="12"/>
      <c r="O64" s="12"/>
      <c r="P64" s="12"/>
      <c r="Q64" s="12"/>
      <c r="R64" s="12"/>
      <c r="S64" s="12"/>
      <c r="T64" s="12"/>
      <c r="U64" s="12"/>
      <c r="V64" s="12"/>
      <c r="AA64" s="17"/>
      <c r="AB64" s="17"/>
    </row>
    <row r="65" spans="2:28" ht="13.5" thickTop="1">
      <c r="B65" s="134">
        <v>24</v>
      </c>
      <c r="C65" s="118" t="s">
        <v>182</v>
      </c>
      <c r="D65" s="135" t="s">
        <v>98</v>
      </c>
      <c r="E65" s="136">
        <v>6</v>
      </c>
      <c r="F65" s="126">
        <v>5463.84</v>
      </c>
      <c r="G65" s="126">
        <v>5693.45</v>
      </c>
      <c r="H65" s="126">
        <v>5932.69</v>
      </c>
      <c r="I65" s="126">
        <v>6097.72</v>
      </c>
      <c r="J65" s="126">
        <v>6181.98</v>
      </c>
      <c r="K65" s="175"/>
      <c r="L65" s="12"/>
      <c r="M65" s="12"/>
      <c r="N65" s="12"/>
      <c r="O65" s="12"/>
      <c r="P65" s="12"/>
      <c r="Q65" s="12"/>
      <c r="R65" s="12"/>
      <c r="S65" s="12"/>
      <c r="T65" s="24"/>
      <c r="U65" s="24"/>
      <c r="V65" s="24"/>
      <c r="AA65" s="17"/>
      <c r="AB65" s="17"/>
    </row>
    <row r="66" spans="2:28">
      <c r="B66" s="124">
        <v>25</v>
      </c>
      <c r="C66" s="125" t="s">
        <v>183</v>
      </c>
      <c r="D66" s="139" t="s">
        <v>99</v>
      </c>
      <c r="E66" s="120">
        <v>5</v>
      </c>
      <c r="F66" s="126">
        <v>4829.1099999999997</v>
      </c>
      <c r="G66" s="126">
        <v>5032.04</v>
      </c>
      <c r="H66" s="126">
        <v>5244.24</v>
      </c>
      <c r="I66" s="126">
        <v>5389.38</v>
      </c>
      <c r="J66" s="126">
        <v>5463.84</v>
      </c>
      <c r="K66" s="175"/>
      <c r="L66" s="12"/>
      <c r="M66" s="12"/>
      <c r="N66" s="12"/>
      <c r="O66" s="12"/>
      <c r="P66" s="12"/>
      <c r="Q66" s="12"/>
      <c r="R66" s="12"/>
      <c r="S66" s="12"/>
      <c r="T66" s="12"/>
      <c r="U66" s="12"/>
      <c r="V66" s="12"/>
      <c r="AA66" s="17"/>
      <c r="AB66" s="17"/>
    </row>
    <row r="67" spans="2:28">
      <c r="B67" s="124">
        <v>26</v>
      </c>
      <c r="C67" s="125" t="s">
        <v>184</v>
      </c>
      <c r="D67" s="141" t="s">
        <v>100</v>
      </c>
      <c r="E67" s="120">
        <v>4</v>
      </c>
      <c r="F67" s="126">
        <v>4268.1400000000003</v>
      </c>
      <c r="G67" s="126">
        <v>4447.4799999999996</v>
      </c>
      <c r="H67" s="126">
        <v>4634.3900000000003</v>
      </c>
      <c r="I67" s="126">
        <v>4763.3100000000004</v>
      </c>
      <c r="J67" s="126">
        <v>4829.1099999999997</v>
      </c>
      <c r="K67" s="175"/>
      <c r="L67" s="12"/>
      <c r="M67" s="12"/>
      <c r="N67" s="12"/>
      <c r="O67" s="12"/>
      <c r="P67" s="12"/>
      <c r="Q67" s="12"/>
      <c r="R67" s="12"/>
      <c r="S67" s="12"/>
      <c r="T67" s="12"/>
      <c r="U67" s="12"/>
      <c r="V67" s="12"/>
      <c r="AA67" s="17"/>
      <c r="AB67" s="17"/>
    </row>
    <row r="68" spans="2:28">
      <c r="B68" s="124">
        <v>27</v>
      </c>
      <c r="C68" s="125" t="s">
        <v>185</v>
      </c>
      <c r="D68" s="141" t="s">
        <v>101</v>
      </c>
      <c r="E68" s="120">
        <v>3</v>
      </c>
      <c r="F68" s="126">
        <v>3772.31</v>
      </c>
      <c r="G68" s="126">
        <v>3930.83</v>
      </c>
      <c r="H68" s="126">
        <v>4096.03</v>
      </c>
      <c r="I68" s="126">
        <v>4209.96</v>
      </c>
      <c r="J68" s="126">
        <v>4268.1400000000003</v>
      </c>
      <c r="K68" s="175"/>
      <c r="L68" s="12"/>
      <c r="M68" s="12"/>
      <c r="N68" s="12"/>
      <c r="O68" s="12"/>
      <c r="P68" s="12"/>
      <c r="Q68" s="12"/>
      <c r="R68" s="12"/>
      <c r="S68" s="12"/>
      <c r="T68" s="12"/>
      <c r="U68" s="12"/>
      <c r="V68" s="12"/>
      <c r="AA68" s="17"/>
      <c r="AB68" s="17"/>
    </row>
    <row r="69" spans="2:28">
      <c r="B69" s="124">
        <v>28</v>
      </c>
      <c r="C69" s="125" t="s">
        <v>186</v>
      </c>
      <c r="D69" s="141" t="s">
        <v>102</v>
      </c>
      <c r="E69" s="120">
        <v>2</v>
      </c>
      <c r="F69" s="126">
        <v>3334.09</v>
      </c>
      <c r="G69" s="126">
        <v>3474.21</v>
      </c>
      <c r="H69" s="126">
        <v>3620.21</v>
      </c>
      <c r="I69" s="126">
        <v>3720.91</v>
      </c>
      <c r="J69" s="126">
        <v>3772.31</v>
      </c>
      <c r="K69" s="12"/>
      <c r="L69" s="12"/>
      <c r="M69" s="12"/>
      <c r="N69" s="12"/>
      <c r="O69" s="12"/>
      <c r="P69" s="12"/>
      <c r="Q69" s="12"/>
      <c r="R69" s="12"/>
      <c r="S69" s="12"/>
      <c r="T69" s="12"/>
      <c r="U69" s="12"/>
      <c r="V69" s="12"/>
      <c r="AA69" s="17"/>
      <c r="AB69" s="17"/>
    </row>
    <row r="70" spans="2:28">
      <c r="B70" s="124">
        <v>29</v>
      </c>
      <c r="C70" s="142" t="s">
        <v>187</v>
      </c>
      <c r="D70" s="143" t="s">
        <v>103</v>
      </c>
      <c r="E70" s="144">
        <v>1</v>
      </c>
      <c r="F70" s="126">
        <v>2946.79</v>
      </c>
      <c r="G70" s="126">
        <v>3070.62</v>
      </c>
      <c r="H70" s="126">
        <v>3199.66</v>
      </c>
      <c r="I70" s="126">
        <v>3288.65</v>
      </c>
      <c r="J70" s="126">
        <v>3334.09</v>
      </c>
      <c r="K70" s="12"/>
      <c r="L70" s="12"/>
      <c r="M70" s="12"/>
      <c r="N70" s="12"/>
      <c r="O70" s="12"/>
      <c r="P70" s="12"/>
      <c r="Q70" s="12"/>
      <c r="R70" s="12"/>
      <c r="S70" s="12"/>
      <c r="T70" s="12"/>
      <c r="U70" s="12"/>
      <c r="V70" s="12"/>
      <c r="AA70" s="17"/>
      <c r="AB70" s="17"/>
    </row>
    <row r="71" spans="2:28">
      <c r="B71" s="1" t="s">
        <v>66</v>
      </c>
    </row>
    <row r="74" spans="2:28" ht="15">
      <c r="C74" s="13" t="s">
        <v>67</v>
      </c>
      <c r="D74" s="14"/>
      <c r="E74" s="14"/>
      <c r="F74" s="14"/>
      <c r="G74" s="14"/>
      <c r="H74" s="14"/>
      <c r="I74" s="14"/>
      <c r="J74" s="14"/>
    </row>
    <row r="75" spans="2:28">
      <c r="B75" s="114">
        <v>44927</v>
      </c>
      <c r="D75" s="2"/>
      <c r="E75" s="436" t="s">
        <v>64</v>
      </c>
      <c r="F75" s="437"/>
      <c r="G75" s="437"/>
      <c r="H75" s="437"/>
      <c r="I75" s="437"/>
      <c r="J75" s="437"/>
      <c r="K75" s="437"/>
    </row>
    <row r="76" spans="2:28">
      <c r="B76" s="110" t="s">
        <v>238</v>
      </c>
      <c r="C76" s="111" t="s">
        <v>63</v>
      </c>
      <c r="D76" s="115" t="s">
        <v>62</v>
      </c>
      <c r="E76" s="112" t="s">
        <v>148</v>
      </c>
      <c r="F76" s="112" t="s">
        <v>149</v>
      </c>
      <c r="G76" s="112" t="s">
        <v>150</v>
      </c>
      <c r="H76" s="112" t="s">
        <v>151</v>
      </c>
      <c r="I76" s="112" t="s">
        <v>152</v>
      </c>
      <c r="J76" s="113" t="s">
        <v>233</v>
      </c>
      <c r="K76" s="180" t="s">
        <v>256</v>
      </c>
      <c r="W76" s="1"/>
      <c r="X76" s="57"/>
      <c r="Z76" s="72"/>
      <c r="AA76" s="58"/>
    </row>
    <row r="77" spans="2:28">
      <c r="B77" s="154">
        <v>1</v>
      </c>
      <c r="C77" s="154" t="s">
        <v>234</v>
      </c>
      <c r="D77" s="154">
        <v>18</v>
      </c>
      <c r="E77" s="155">
        <v>7385.15</v>
      </c>
      <c r="F77" s="155">
        <v>7538.73</v>
      </c>
      <c r="G77" s="155">
        <v>7695.48</v>
      </c>
      <c r="H77" s="155">
        <v>7855.53</v>
      </c>
      <c r="I77" s="155">
        <v>8018.91</v>
      </c>
      <c r="J77" s="156">
        <v>8185.66</v>
      </c>
      <c r="K77" s="156">
        <v>8355.86</v>
      </c>
      <c r="W77" s="1"/>
      <c r="X77" s="57"/>
      <c r="Z77" s="72"/>
      <c r="AA77" s="58"/>
    </row>
    <row r="78" spans="2:28">
      <c r="B78" s="157">
        <v>2</v>
      </c>
      <c r="C78" s="157" t="s">
        <v>234</v>
      </c>
      <c r="D78" s="157">
        <v>17</v>
      </c>
      <c r="E78" s="158">
        <v>6527.2</v>
      </c>
      <c r="F78" s="158">
        <v>6662.91</v>
      </c>
      <c r="G78" s="158">
        <v>6801.48</v>
      </c>
      <c r="H78" s="158">
        <v>6942.93</v>
      </c>
      <c r="I78" s="158">
        <v>7087.31</v>
      </c>
      <c r="J78" s="159">
        <v>7234.69</v>
      </c>
      <c r="K78" s="159">
        <v>7385.15</v>
      </c>
      <c r="W78" s="1"/>
      <c r="X78" s="57"/>
      <c r="Z78" s="72"/>
      <c r="AA78" s="58"/>
    </row>
    <row r="79" spans="2:28">
      <c r="B79" s="157">
        <v>3</v>
      </c>
      <c r="C79" s="157" t="s">
        <v>234</v>
      </c>
      <c r="D79" s="157">
        <v>16</v>
      </c>
      <c r="E79" s="158">
        <v>5768.89</v>
      </c>
      <c r="F79" s="158">
        <v>5888.85</v>
      </c>
      <c r="G79" s="158">
        <v>6011.32</v>
      </c>
      <c r="H79" s="158">
        <v>6136.33</v>
      </c>
      <c r="I79" s="158">
        <v>6263.95</v>
      </c>
      <c r="J79" s="159">
        <v>6394.23</v>
      </c>
      <c r="K79" s="159">
        <v>6527.2</v>
      </c>
      <c r="W79" s="1"/>
      <c r="X79" s="57"/>
      <c r="Z79" s="72"/>
      <c r="AA79" s="58"/>
    </row>
    <row r="80" spans="2:28">
      <c r="B80" s="157">
        <v>4</v>
      </c>
      <c r="C80" s="157" t="s">
        <v>234</v>
      </c>
      <c r="D80" s="157">
        <v>15</v>
      </c>
      <c r="E80" s="158">
        <v>5098.67</v>
      </c>
      <c r="F80" s="158">
        <v>5204.71</v>
      </c>
      <c r="G80" s="158">
        <v>5312.96</v>
      </c>
      <c r="H80" s="158">
        <v>5423.45</v>
      </c>
      <c r="I80" s="158">
        <v>5536.24</v>
      </c>
      <c r="J80" s="159">
        <v>5651.35</v>
      </c>
      <c r="K80" s="159">
        <v>5768.89</v>
      </c>
      <c r="W80" s="1"/>
      <c r="X80" s="57"/>
      <c r="Z80" s="72"/>
      <c r="AA80" s="58"/>
    </row>
    <row r="81" spans="2:27">
      <c r="B81" s="157">
        <v>5</v>
      </c>
      <c r="C81" s="157" t="s">
        <v>234</v>
      </c>
      <c r="D81" s="157">
        <v>14</v>
      </c>
      <c r="E81" s="158">
        <v>4506.3599999999997</v>
      </c>
      <c r="F81" s="158">
        <v>4600.07</v>
      </c>
      <c r="G81" s="158">
        <v>4695.74</v>
      </c>
      <c r="H81" s="158">
        <v>4793.38</v>
      </c>
      <c r="I81" s="158">
        <v>4893.1000000000004</v>
      </c>
      <c r="J81" s="159">
        <v>4994.8100000000004</v>
      </c>
      <c r="K81" s="159">
        <v>5098.67</v>
      </c>
      <c r="W81" s="1"/>
      <c r="X81" s="57"/>
      <c r="Z81" s="72"/>
      <c r="AA81" s="58"/>
    </row>
    <row r="82" spans="2:27" ht="13.5" thickBot="1">
      <c r="B82" s="160">
        <v>6</v>
      </c>
      <c r="C82" s="160" t="s">
        <v>234</v>
      </c>
      <c r="D82" s="160">
        <v>13</v>
      </c>
      <c r="E82" s="161">
        <v>3982.82</v>
      </c>
      <c r="F82" s="161">
        <v>4065.66</v>
      </c>
      <c r="G82" s="161">
        <v>4150.2</v>
      </c>
      <c r="H82" s="161">
        <v>4236.53</v>
      </c>
      <c r="I82" s="161">
        <v>4324.6099999999997</v>
      </c>
      <c r="J82" s="162">
        <v>4414.55</v>
      </c>
      <c r="K82" s="162">
        <v>4506.3599999999997</v>
      </c>
      <c r="W82" s="1"/>
      <c r="X82" s="57"/>
      <c r="Z82" s="72"/>
      <c r="AA82" s="58"/>
    </row>
    <row r="83" spans="2:27" ht="13.5" thickTop="1">
      <c r="B83" s="163">
        <v>7</v>
      </c>
      <c r="C83" s="163" t="s">
        <v>235</v>
      </c>
      <c r="D83" s="163">
        <v>12</v>
      </c>
      <c r="E83" s="164">
        <v>5098.6099999999997</v>
      </c>
      <c r="F83" s="164">
        <v>5204.63</v>
      </c>
      <c r="G83" s="164">
        <v>5312.88</v>
      </c>
      <c r="H83" s="164">
        <v>5423.35</v>
      </c>
      <c r="I83" s="164">
        <v>5536.11</v>
      </c>
      <c r="J83" s="165">
        <v>5651.24</v>
      </c>
      <c r="K83" s="165">
        <v>5768.76</v>
      </c>
      <c r="W83" s="1"/>
      <c r="X83" s="57"/>
      <c r="Z83" s="72"/>
      <c r="AA83" s="58"/>
    </row>
    <row r="84" spans="2:27">
      <c r="B84" s="157">
        <v>8</v>
      </c>
      <c r="C84" s="157" t="s">
        <v>235</v>
      </c>
      <c r="D84" s="157">
        <v>11</v>
      </c>
      <c r="E84" s="158">
        <v>4506.33</v>
      </c>
      <c r="F84" s="158">
        <v>4600.01</v>
      </c>
      <c r="G84" s="158">
        <v>4695.67</v>
      </c>
      <c r="H84" s="158">
        <v>4793.3100000000004</v>
      </c>
      <c r="I84" s="158">
        <v>4893</v>
      </c>
      <c r="J84" s="159">
        <v>4994.74</v>
      </c>
      <c r="K84" s="159">
        <v>5098.6099999999997</v>
      </c>
      <c r="W84" s="1"/>
      <c r="X84" s="57"/>
      <c r="Z84" s="72"/>
      <c r="AA84" s="58"/>
    </row>
    <row r="85" spans="2:27">
      <c r="B85" s="157">
        <v>9</v>
      </c>
      <c r="C85" s="157" t="s">
        <v>235</v>
      </c>
      <c r="D85" s="157">
        <v>10</v>
      </c>
      <c r="E85" s="158">
        <v>3982.81</v>
      </c>
      <c r="F85" s="158">
        <v>4065.63</v>
      </c>
      <c r="G85" s="158">
        <v>4150.18</v>
      </c>
      <c r="H85" s="158">
        <v>4236.5</v>
      </c>
      <c r="I85" s="158">
        <v>4324.58</v>
      </c>
      <c r="J85" s="159">
        <v>4414.5200000000004</v>
      </c>
      <c r="K85" s="159">
        <v>4506.33</v>
      </c>
      <c r="W85" s="1"/>
      <c r="X85" s="57"/>
      <c r="Z85" s="72"/>
      <c r="AA85" s="58"/>
    </row>
    <row r="86" spans="2:27">
      <c r="B86" s="157">
        <v>10</v>
      </c>
      <c r="C86" s="157" t="s">
        <v>235</v>
      </c>
      <c r="D86" s="157">
        <v>9</v>
      </c>
      <c r="E86" s="158">
        <v>3520.14</v>
      </c>
      <c r="F86" s="158">
        <v>3593.34</v>
      </c>
      <c r="G86" s="158">
        <v>3668.07</v>
      </c>
      <c r="H86" s="158">
        <v>3744.36</v>
      </c>
      <c r="I86" s="158">
        <v>3822.22</v>
      </c>
      <c r="J86" s="159">
        <v>3901.68</v>
      </c>
      <c r="K86" s="159">
        <v>3982.81</v>
      </c>
      <c r="W86" s="1"/>
      <c r="X86" s="57"/>
      <c r="Z86" s="72"/>
      <c r="AA86" s="58"/>
    </row>
    <row r="87" spans="2:27" ht="13.5" thickBot="1">
      <c r="B87" s="160">
        <v>11</v>
      </c>
      <c r="C87" s="160" t="s">
        <v>235</v>
      </c>
      <c r="D87" s="160">
        <v>8</v>
      </c>
      <c r="E87" s="161">
        <v>3111.21</v>
      </c>
      <c r="F87" s="161">
        <v>3175.91</v>
      </c>
      <c r="G87" s="161">
        <v>3241.97</v>
      </c>
      <c r="H87" s="161">
        <v>3309.37</v>
      </c>
      <c r="I87" s="161">
        <v>3378.2</v>
      </c>
      <c r="J87" s="162">
        <v>3448.44</v>
      </c>
      <c r="K87" s="162">
        <v>3520.14</v>
      </c>
      <c r="W87" s="1"/>
      <c r="X87" s="57"/>
      <c r="Z87" s="72"/>
      <c r="AA87" s="58"/>
    </row>
    <row r="88" spans="2:27" ht="13.5" thickTop="1">
      <c r="B88" s="163">
        <v>12</v>
      </c>
      <c r="C88" s="163" t="s">
        <v>236</v>
      </c>
      <c r="D88" s="163">
        <v>7</v>
      </c>
      <c r="E88" s="164">
        <v>3520.06</v>
      </c>
      <c r="F88" s="164">
        <v>3593.29</v>
      </c>
      <c r="G88" s="164">
        <v>3668.01</v>
      </c>
      <c r="H88" s="164">
        <v>3744.29</v>
      </c>
      <c r="I88" s="164">
        <v>3822.2</v>
      </c>
      <c r="J88" s="165">
        <v>3901.68</v>
      </c>
      <c r="K88" s="165">
        <v>3982.82</v>
      </c>
      <c r="W88" s="1"/>
      <c r="X88" s="57"/>
      <c r="Z88" s="72"/>
      <c r="AA88" s="58"/>
    </row>
    <row r="89" spans="2:27">
      <c r="B89" s="157">
        <v>13</v>
      </c>
      <c r="C89" s="157" t="s">
        <v>236</v>
      </c>
      <c r="D89" s="157">
        <v>6</v>
      </c>
      <c r="E89" s="158">
        <v>3111.08</v>
      </c>
      <c r="F89" s="158">
        <v>3175.76</v>
      </c>
      <c r="G89" s="158">
        <v>3241.83</v>
      </c>
      <c r="H89" s="158">
        <v>3309.25</v>
      </c>
      <c r="I89" s="158">
        <v>3378.08</v>
      </c>
      <c r="J89" s="159">
        <v>3448.34</v>
      </c>
      <c r="K89" s="159">
        <v>3520.06</v>
      </c>
      <c r="W89" s="1"/>
      <c r="X89" s="57"/>
      <c r="Z89" s="72"/>
      <c r="AA89" s="58"/>
    </row>
    <row r="90" spans="2:27">
      <c r="B90" s="157">
        <v>14</v>
      </c>
      <c r="C90" s="157" t="s">
        <v>236</v>
      </c>
      <c r="D90" s="157">
        <v>5</v>
      </c>
      <c r="E90" s="158">
        <v>2749.58</v>
      </c>
      <c r="F90" s="158">
        <v>2806.76</v>
      </c>
      <c r="G90" s="158">
        <v>2865.15</v>
      </c>
      <c r="H90" s="158">
        <v>2924.75</v>
      </c>
      <c r="I90" s="158">
        <v>2985.56</v>
      </c>
      <c r="J90" s="159">
        <v>3047.68</v>
      </c>
      <c r="K90" s="159">
        <v>3111.08</v>
      </c>
      <c r="W90" s="1"/>
      <c r="X90" s="57"/>
      <c r="Z90" s="72"/>
      <c r="AA90" s="58"/>
    </row>
    <row r="91" spans="2:27" ht="13.5" thickBot="1">
      <c r="B91" s="160">
        <v>15</v>
      </c>
      <c r="C91" s="160" t="s">
        <v>236</v>
      </c>
      <c r="D91" s="160">
        <v>4</v>
      </c>
      <c r="E91" s="161">
        <v>2430.1</v>
      </c>
      <c r="F91" s="161">
        <v>2480.65</v>
      </c>
      <c r="G91" s="161">
        <v>2532.25</v>
      </c>
      <c r="H91" s="161">
        <v>2584.92</v>
      </c>
      <c r="I91" s="161">
        <v>2638.68</v>
      </c>
      <c r="J91" s="162">
        <v>2693.56</v>
      </c>
      <c r="K91" s="162">
        <v>2749.58</v>
      </c>
      <c r="W91" s="1"/>
      <c r="X91" s="57"/>
      <c r="Z91" s="72"/>
      <c r="AA91" s="58"/>
    </row>
    <row r="92" spans="2:27" ht="13.5" thickTop="1">
      <c r="B92" s="166">
        <v>16</v>
      </c>
      <c r="C92" s="166" t="s">
        <v>237</v>
      </c>
      <c r="D92" s="166">
        <v>3</v>
      </c>
      <c r="E92" s="167">
        <v>2993.7</v>
      </c>
      <c r="F92" s="167">
        <v>3055.82</v>
      </c>
      <c r="G92" s="167">
        <v>3119.25</v>
      </c>
      <c r="H92" s="167">
        <v>3183.98</v>
      </c>
      <c r="I92" s="167">
        <v>3250.05</v>
      </c>
      <c r="J92" s="168">
        <v>3317.52</v>
      </c>
      <c r="K92" s="168">
        <v>3386.39</v>
      </c>
      <c r="W92" s="1"/>
      <c r="X92" s="57"/>
      <c r="Z92" s="72"/>
      <c r="AA92" s="58"/>
    </row>
    <row r="93" spans="2:27">
      <c r="B93" s="157">
        <v>17</v>
      </c>
      <c r="C93" s="157" t="s">
        <v>237</v>
      </c>
      <c r="D93" s="157">
        <v>2</v>
      </c>
      <c r="E93" s="158">
        <v>2646.55</v>
      </c>
      <c r="F93" s="158">
        <v>2701.48</v>
      </c>
      <c r="G93" s="158">
        <v>2757.55</v>
      </c>
      <c r="H93" s="158">
        <v>2814.78</v>
      </c>
      <c r="I93" s="158">
        <v>2873.2</v>
      </c>
      <c r="J93" s="159">
        <v>2932.84</v>
      </c>
      <c r="K93" s="159">
        <v>2993.7</v>
      </c>
      <c r="W93" s="1"/>
      <c r="X93" s="57"/>
      <c r="Z93" s="72"/>
      <c r="AA93" s="58"/>
    </row>
    <row r="94" spans="2:27">
      <c r="B94" s="169">
        <v>18</v>
      </c>
      <c r="C94" s="169" t="s">
        <v>237</v>
      </c>
      <c r="D94" s="170">
        <v>1</v>
      </c>
      <c r="E94" s="171">
        <v>2339.6799999999998</v>
      </c>
      <c r="F94" s="171">
        <v>2388.25</v>
      </c>
      <c r="G94" s="171">
        <v>2437.8000000000002</v>
      </c>
      <c r="H94" s="171">
        <v>2488.38</v>
      </c>
      <c r="I94" s="171">
        <v>2540.04</v>
      </c>
      <c r="J94" s="172">
        <v>2592.75</v>
      </c>
      <c r="K94" s="172">
        <v>2646.55</v>
      </c>
      <c r="W94" s="1"/>
      <c r="X94" s="57"/>
      <c r="Z94" s="72"/>
      <c r="AA94" s="58"/>
    </row>
    <row r="95" spans="2:27">
      <c r="B95" s="15" t="s">
        <v>68</v>
      </c>
      <c r="D95" s="14"/>
      <c r="E95" s="14"/>
      <c r="F95" s="14"/>
      <c r="G95" s="14"/>
      <c r="H95" s="14"/>
      <c r="I95" s="14"/>
      <c r="J95" s="14"/>
    </row>
    <row r="96" spans="2:27">
      <c r="B96" s="15"/>
    </row>
    <row r="97" spans="2:26">
      <c r="B97" s="1"/>
      <c r="C97" s="1"/>
    </row>
    <row r="98" spans="2:26">
      <c r="D98" s="2"/>
    </row>
    <row r="99" spans="2:26">
      <c r="D99" s="2"/>
      <c r="E99" s="173"/>
      <c r="F99" s="173"/>
      <c r="G99" s="173"/>
      <c r="H99" s="173"/>
      <c r="I99" s="173"/>
      <c r="J99" s="173"/>
      <c r="K99" s="173"/>
      <c r="L99" s="12"/>
      <c r="M99" s="12"/>
      <c r="N99" s="12"/>
      <c r="O99" s="12"/>
      <c r="P99" s="12"/>
      <c r="Q99" s="12"/>
      <c r="R99" s="12"/>
      <c r="S99" s="12"/>
      <c r="T99" s="12"/>
      <c r="U99" s="12"/>
      <c r="V99" s="12"/>
    </row>
    <row r="100" spans="2:26" ht="12.75" customHeight="1">
      <c r="D100" s="2"/>
      <c r="E100" s="173"/>
      <c r="F100" s="173"/>
      <c r="G100" s="173"/>
      <c r="H100" s="173"/>
      <c r="I100" s="173"/>
      <c r="J100" s="173"/>
      <c r="K100" s="173"/>
      <c r="L100" s="12"/>
      <c r="M100" s="12"/>
      <c r="N100" s="12"/>
      <c r="O100" s="12"/>
      <c r="P100" s="12"/>
      <c r="Q100" s="12"/>
      <c r="R100" s="12"/>
      <c r="S100" s="12"/>
      <c r="T100" s="12"/>
      <c r="U100" s="12"/>
      <c r="V100" s="12"/>
    </row>
    <row r="101" spans="2:26" ht="12.75" customHeight="1">
      <c r="D101" s="2"/>
      <c r="E101" s="173"/>
      <c r="F101" s="173"/>
      <c r="G101" s="173"/>
      <c r="H101" s="173"/>
      <c r="I101" s="173"/>
      <c r="J101" s="173"/>
      <c r="K101" s="173"/>
      <c r="L101" s="12"/>
      <c r="M101" s="12"/>
      <c r="N101" s="12"/>
      <c r="O101" s="12"/>
      <c r="P101" s="12"/>
      <c r="Q101" s="12"/>
      <c r="R101" s="12"/>
      <c r="S101" s="12"/>
      <c r="T101" s="12"/>
      <c r="U101" s="12"/>
      <c r="V101" s="12"/>
    </row>
    <row r="102" spans="2:26" ht="12.75" customHeight="1">
      <c r="D102" s="2"/>
      <c r="E102" s="173"/>
      <c r="F102" s="173"/>
      <c r="G102" s="173"/>
      <c r="H102" s="173"/>
      <c r="I102" s="173"/>
      <c r="J102" s="173"/>
      <c r="K102" s="173"/>
    </row>
    <row r="103" spans="2:26">
      <c r="D103" s="2"/>
      <c r="E103" s="173"/>
      <c r="F103" s="173"/>
      <c r="G103" s="173"/>
      <c r="H103" s="173"/>
      <c r="I103" s="173"/>
      <c r="J103" s="173"/>
      <c r="K103" s="173"/>
    </row>
    <row r="104" spans="2:26">
      <c r="D104" s="2"/>
      <c r="E104" s="173"/>
      <c r="F104" s="173"/>
      <c r="G104" s="173"/>
      <c r="H104" s="173"/>
      <c r="I104" s="173"/>
      <c r="J104" s="173"/>
      <c r="K104" s="173"/>
    </row>
    <row r="105" spans="2:26">
      <c r="D105" s="2"/>
      <c r="E105" s="173"/>
      <c r="F105" s="173"/>
      <c r="G105" s="173"/>
      <c r="H105" s="173"/>
      <c r="I105" s="173"/>
      <c r="J105" s="173"/>
      <c r="K105" s="173"/>
    </row>
    <row r="106" spans="2:26" ht="12.75" customHeight="1">
      <c r="D106" s="2"/>
      <c r="E106" s="173"/>
      <c r="F106" s="173"/>
      <c r="G106" s="173"/>
      <c r="H106" s="173"/>
      <c r="I106" s="173"/>
      <c r="J106" s="173"/>
      <c r="K106" s="173"/>
    </row>
    <row r="107" spans="2:26">
      <c r="D107" s="2"/>
      <c r="E107" s="173"/>
      <c r="F107" s="173"/>
      <c r="G107" s="173"/>
      <c r="H107" s="173"/>
      <c r="I107" s="173"/>
      <c r="J107" s="173"/>
      <c r="K107" s="173"/>
    </row>
    <row r="108" spans="2:26">
      <c r="D108" s="2"/>
      <c r="E108" s="173"/>
      <c r="F108" s="173"/>
      <c r="G108" s="173"/>
      <c r="H108" s="173"/>
      <c r="I108" s="173"/>
      <c r="J108" s="173"/>
      <c r="K108" s="173"/>
      <c r="X108" s="57"/>
      <c r="Y108" s="57"/>
      <c r="Z108" s="57"/>
    </row>
    <row r="109" spans="2:26">
      <c r="D109" s="2"/>
      <c r="E109" s="173"/>
      <c r="F109" s="173"/>
      <c r="G109" s="173"/>
      <c r="H109" s="173"/>
      <c r="I109" s="173"/>
      <c r="J109" s="173"/>
      <c r="K109" s="173"/>
      <c r="X109" s="57"/>
      <c r="Y109" s="57"/>
      <c r="Z109" s="57"/>
    </row>
    <row r="110" spans="2:26">
      <c r="D110" s="2"/>
      <c r="E110" s="173"/>
      <c r="F110" s="173"/>
      <c r="G110" s="173"/>
      <c r="H110" s="173"/>
      <c r="I110" s="173"/>
      <c r="J110" s="173"/>
      <c r="K110" s="173"/>
      <c r="X110" s="57"/>
      <c r="Y110" s="57"/>
      <c r="Z110" s="57"/>
    </row>
    <row r="111" spans="2:26">
      <c r="D111" s="2"/>
      <c r="E111" s="173"/>
      <c r="F111" s="173"/>
      <c r="G111" s="173"/>
      <c r="H111" s="173"/>
      <c r="I111" s="173"/>
      <c r="J111" s="173"/>
      <c r="K111" s="173"/>
      <c r="X111" s="57"/>
      <c r="Y111" s="57"/>
      <c r="Z111" s="57"/>
    </row>
    <row r="112" spans="2:26">
      <c r="D112" s="2"/>
      <c r="E112" s="173"/>
      <c r="F112" s="173"/>
      <c r="G112" s="173"/>
      <c r="H112" s="173"/>
      <c r="I112" s="173"/>
      <c r="J112" s="173"/>
      <c r="K112" s="173"/>
      <c r="X112" s="57"/>
      <c r="Y112" s="57"/>
      <c r="Z112" s="57"/>
    </row>
    <row r="113" spans="2:26">
      <c r="D113" s="2"/>
      <c r="E113" s="173"/>
      <c r="F113" s="173"/>
      <c r="G113" s="173"/>
      <c r="H113" s="173"/>
      <c r="I113" s="173"/>
      <c r="J113" s="173"/>
      <c r="K113" s="173"/>
      <c r="X113" s="57"/>
      <c r="Y113" s="57"/>
      <c r="Z113" s="57"/>
    </row>
    <row r="114" spans="2:26">
      <c r="D114" s="2"/>
      <c r="E114" s="173"/>
      <c r="F114" s="173"/>
      <c r="G114" s="173"/>
      <c r="H114" s="173"/>
      <c r="I114" s="173"/>
      <c r="J114" s="173"/>
      <c r="K114" s="173"/>
      <c r="X114" s="57"/>
      <c r="Y114" s="57"/>
      <c r="Z114" s="57"/>
    </row>
    <row r="115" spans="2:26">
      <c r="D115" s="2"/>
      <c r="E115" s="173"/>
      <c r="F115" s="173"/>
      <c r="G115" s="173"/>
      <c r="H115" s="173"/>
      <c r="I115" s="173"/>
      <c r="J115" s="173"/>
      <c r="K115" s="173"/>
      <c r="L115" s="2"/>
      <c r="M115" s="2"/>
      <c r="N115" s="2"/>
      <c r="O115" s="2"/>
      <c r="P115" s="2"/>
      <c r="Q115" s="2"/>
      <c r="R115" s="2"/>
      <c r="S115" s="2"/>
      <c r="T115" s="2"/>
      <c r="U115" s="2"/>
      <c r="V115" s="2"/>
      <c r="X115" s="57"/>
      <c r="Y115" s="57"/>
    </row>
    <row r="116" spans="2:26">
      <c r="D116" s="2"/>
      <c r="E116" s="173"/>
      <c r="F116" s="173"/>
      <c r="G116" s="173"/>
      <c r="H116" s="173"/>
      <c r="I116" s="173"/>
      <c r="J116" s="173"/>
      <c r="K116" s="173"/>
      <c r="L116" s="2"/>
      <c r="M116" s="2"/>
      <c r="N116" s="2"/>
      <c r="O116" s="2"/>
      <c r="P116" s="2"/>
      <c r="Q116" s="2"/>
      <c r="R116" s="2"/>
      <c r="S116" s="2"/>
      <c r="T116" s="2"/>
      <c r="U116" s="2"/>
      <c r="V116" s="2"/>
      <c r="X116" s="57"/>
      <c r="Y116" s="57"/>
    </row>
    <row r="117" spans="2:26">
      <c r="B117" s="1"/>
      <c r="C117" s="1"/>
      <c r="L117" s="2"/>
      <c r="M117" s="2"/>
      <c r="N117" s="2"/>
      <c r="O117" s="2"/>
      <c r="P117" s="2"/>
      <c r="Q117" s="2"/>
      <c r="R117" s="2"/>
      <c r="S117" s="2"/>
      <c r="T117" s="2"/>
      <c r="U117" s="2"/>
      <c r="V117" s="2"/>
      <c r="X117" s="57"/>
      <c r="Y117" s="57"/>
    </row>
    <row r="118" spans="2:26">
      <c r="B118" s="1"/>
      <c r="C118" s="1"/>
      <c r="L118" s="2"/>
      <c r="M118" s="2"/>
      <c r="N118" s="2"/>
      <c r="O118" s="2"/>
      <c r="P118" s="2"/>
      <c r="Q118" s="2"/>
      <c r="R118" s="2"/>
      <c r="S118" s="2"/>
      <c r="T118" s="2"/>
      <c r="U118" s="2"/>
      <c r="V118" s="2"/>
      <c r="X118" s="57"/>
      <c r="Y118" s="57"/>
    </row>
    <row r="119" spans="2:26">
      <c r="B119" s="1"/>
      <c r="C119" s="1"/>
      <c r="X119" s="57"/>
      <c r="Y119" s="57"/>
    </row>
    <row r="120" spans="2:26">
      <c r="B120" s="1"/>
      <c r="C120" s="1"/>
      <c r="X120" s="57"/>
      <c r="Y120" s="57"/>
    </row>
    <row r="121" spans="2:26">
      <c r="B121" s="1"/>
      <c r="C121" s="1"/>
      <c r="X121" s="57"/>
      <c r="Y121" s="57"/>
    </row>
    <row r="122" spans="2:26">
      <c r="B122" s="1"/>
      <c r="C122" s="1"/>
      <c r="X122" s="57"/>
      <c r="Y122" s="57"/>
    </row>
    <row r="123" spans="2:26">
      <c r="B123" s="1"/>
      <c r="C123" s="1"/>
      <c r="X123" s="57"/>
      <c r="Y123" s="57"/>
    </row>
    <row r="124" spans="2:26">
      <c r="B124" s="1"/>
      <c r="C124" s="1"/>
      <c r="X124" s="57"/>
      <c r="Y124" s="57"/>
    </row>
    <row r="125" spans="2:26">
      <c r="B125" s="1"/>
      <c r="C125" s="1"/>
      <c r="X125" s="57"/>
      <c r="Y125" s="57"/>
    </row>
    <row r="126" spans="2:26">
      <c r="B126" s="1"/>
      <c r="C126" s="1"/>
      <c r="X126" s="57"/>
      <c r="Y126" s="57"/>
    </row>
    <row r="127" spans="2:26">
      <c r="B127" s="1"/>
      <c r="C127" s="1"/>
      <c r="X127" s="57"/>
      <c r="Y127" s="57"/>
    </row>
    <row r="128" spans="2:26">
      <c r="B128" s="1"/>
      <c r="C128" s="1"/>
      <c r="X128" s="57"/>
      <c r="Y128" s="57"/>
    </row>
    <row r="129" spans="2:25">
      <c r="B129" s="1"/>
      <c r="C129" s="1"/>
      <c r="X129" s="57"/>
      <c r="Y129" s="57"/>
    </row>
    <row r="130" spans="2:25">
      <c r="B130" s="1"/>
      <c r="C130" s="1"/>
      <c r="X130" s="57"/>
      <c r="Y130" s="57"/>
    </row>
    <row r="131" spans="2:25">
      <c r="B131" s="1"/>
      <c r="C131" s="1"/>
    </row>
    <row r="132" spans="2:25" ht="76.5" customHeight="1">
      <c r="B132" s="1"/>
      <c r="C132" s="1"/>
    </row>
    <row r="133" spans="2:25">
      <c r="B133" s="1"/>
      <c r="C133" s="1"/>
    </row>
    <row r="134" spans="2:25" ht="51" customHeight="1">
      <c r="B134" s="1"/>
      <c r="C134" s="1"/>
    </row>
    <row r="135" spans="2:25">
      <c r="B135" s="1"/>
      <c r="C135" s="1"/>
    </row>
    <row r="136" spans="2:25">
      <c r="B136" s="1"/>
      <c r="C136" s="1"/>
    </row>
    <row r="137" spans="2:25">
      <c r="B137" s="1"/>
      <c r="C137" s="1"/>
    </row>
    <row r="138" spans="2:25">
      <c r="B138" s="1"/>
      <c r="C138" s="1"/>
    </row>
    <row r="139" spans="2:25">
      <c r="B139" s="1"/>
      <c r="C139" s="1"/>
    </row>
    <row r="140" spans="2:25">
      <c r="B140" s="1"/>
      <c r="C140" s="1"/>
    </row>
    <row r="143" spans="2:25">
      <c r="B143" s="1"/>
      <c r="C143" s="1"/>
    </row>
    <row r="144" spans="2:25">
      <c r="B144" s="1"/>
      <c r="C144" s="1"/>
    </row>
    <row r="145" spans="2:3">
      <c r="B145" s="1"/>
      <c r="C145" s="1"/>
    </row>
    <row r="146" spans="2:3">
      <c r="B146" s="1"/>
      <c r="C146" s="1"/>
    </row>
    <row r="147" spans="2:3">
      <c r="B147" s="1"/>
      <c r="C147" s="1"/>
    </row>
    <row r="148" spans="2:3">
      <c r="B148" s="1"/>
      <c r="C148" s="1"/>
    </row>
    <row r="149" spans="2:3">
      <c r="B149" s="1"/>
      <c r="C149" s="1"/>
    </row>
    <row r="150" spans="2:3">
      <c r="B150" s="1"/>
      <c r="C150" s="1"/>
    </row>
    <row r="151" spans="2:3">
      <c r="B151" s="1"/>
      <c r="C151" s="1"/>
    </row>
    <row r="152" spans="2:3">
      <c r="B152" s="1"/>
      <c r="C152" s="1"/>
    </row>
    <row r="153" spans="2:3">
      <c r="B153" s="1"/>
      <c r="C153" s="1"/>
    </row>
    <row r="154" spans="2:3">
      <c r="B154" s="1"/>
      <c r="C154" s="1"/>
    </row>
    <row r="155" spans="2:3">
      <c r="B155" s="1"/>
      <c r="C155" s="1"/>
    </row>
    <row r="156" spans="2:3">
      <c r="B156" s="1"/>
      <c r="C156" s="1"/>
    </row>
    <row r="157" spans="2:3">
      <c r="B157" s="1"/>
      <c r="C157" s="1"/>
    </row>
    <row r="158" spans="2:3">
      <c r="B158" s="1"/>
      <c r="C158" s="1"/>
    </row>
    <row r="159" spans="2:3">
      <c r="B159" s="1"/>
      <c r="C159" s="1"/>
    </row>
    <row r="160" spans="2:3">
      <c r="B160" s="1"/>
      <c r="C160" s="1"/>
    </row>
    <row r="161" spans="2:3">
      <c r="B161" s="1"/>
      <c r="C161" s="1"/>
    </row>
    <row r="162" spans="2:3">
      <c r="B162" s="1"/>
      <c r="C162" s="1"/>
    </row>
    <row r="163" spans="2:3">
      <c r="B163" s="1"/>
      <c r="C163" s="1"/>
    </row>
    <row r="164" spans="2:3">
      <c r="B164" s="1"/>
      <c r="C164" s="1"/>
    </row>
    <row r="165" spans="2:3">
      <c r="B165" s="1"/>
      <c r="C165" s="1"/>
    </row>
    <row r="170" spans="2:3">
      <c r="B170" s="1"/>
      <c r="C170" s="1"/>
    </row>
  </sheetData>
  <sheetProtection algorithmName="SHA-512" hashValue="fAQzBlGTGqlKILu4qE2JSmnIXaHQ37psFwImjwX81rDnIkb9Jd07FBBm+bpDRGHIMsJhrKrvPZHUi+nQk4wLKg==" saltValue="cPoJjhoM0cf+zMT9M2BY7w==" spinCount="100000" sheet="1" objects="1" scenarios="1" selectLockedCells="1"/>
  <autoFilter ref="B4:E4" xr:uid="{D3FE07DD-A87F-491C-921F-74B31E2A51AF}">
    <sortState xmlns:xlrd2="http://schemas.microsoft.com/office/spreadsheetml/2017/richdata2" ref="B5:E35">
      <sortCondition ref="B4"/>
    </sortState>
  </autoFilter>
  <mergeCells count="4">
    <mergeCell ref="F40:J40"/>
    <mergeCell ref="B39:H39"/>
    <mergeCell ref="Z52:Z55"/>
    <mergeCell ref="E75:K75"/>
  </mergeCells>
  <phoneticPr fontId="2" type="noConversion"/>
  <pageMargins left="0.7" right="0.7" top="0.75" bottom="0.75"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E5FBCEFF5FCC45A5FCF3CAA0A2B927" ma:contentTypeVersion="2" ma:contentTypeDescription="Create a new document." ma:contentTypeScope="" ma:versionID="be25e306763ee263b90cf35405c0e5ad">
  <xsd:schema xmlns:xsd="http://www.w3.org/2001/XMLSchema" xmlns:xs="http://www.w3.org/2001/XMLSchema" xmlns:p="http://schemas.microsoft.com/office/2006/metadata/properties" xmlns:ns1="http://schemas.microsoft.com/sharepoint/v3" xmlns:ns2="d983433c-0865-4de1-a0ae-1df1a0b7e4c0" targetNamespace="http://schemas.microsoft.com/office/2006/metadata/properties" ma:root="true" ma:fieldsID="2bac393b9d0f9fd1d054068e8bbf2645" ns1:_="" ns2:_="">
    <xsd:import namespace="http://schemas.microsoft.com/sharepoint/v3"/>
    <xsd:import namespace="d983433c-0865-4de1-a0ae-1df1a0b7e4c0"/>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983433c-0865-4de1-a0ae-1df1a0b7e4c0" elementFormDefault="qualified">
    <xsd:import namespace="http://schemas.microsoft.com/office/2006/documentManagement/types"/>
    <xsd:import namespace="http://schemas.microsoft.com/office/infopath/2007/PartnerControls"/>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ZDg0NzBhZi00NTcxLTQ3MWMtYjZkZS0wZmI3NGU1NTUxMWEiIG9yaWdpbj0idXNlclNlbGVjdGVkIiAvPjxVc2VyTmFtZT5ldS1MSVNBXGx1emlham88L1VzZXJOYW1lPjxEYXRlVGltZT4xNC8wNi8yMDIzIDA5OjE1OjMxPC9EYXRlVGltZT48TGFiZWxTdHJpbmcgLz48L2l0ZW0+PC9sYWJlbEhpc3Rvcnk+</Value>
</WrappedLabelHistory>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d983433c-0865-4de1-a0ae-1df1a0b7e4c0">AR3NRDEYVJRC-104-42</_dlc_DocId>
    <_dlc_DocIdUrl xmlns="d983433c-0865-4de1-a0ae-1df1a0b7e4c0">
      <Url>https://edit.eulisa.europa.eu/Newsroom/News/_layouts/15/DocIdRedir.aspx?ID=AR3NRDEYVJRC-104-42</Url>
      <Description>AR3NRDEYVJRC-104-42</Description>
    </_dlc_DocIdUrl>
  </documentManagement>
</p:properties>
</file>

<file path=customXml/item5.xml><?xml version="1.0" encoding="utf-8"?>
<LongProperties xmlns="http://schemas.microsoft.com/office/2006/metadata/longProperties">
  <LongProp xmlns="" name="EC_Portal_SM_Audiences"><![CDATA[ACER A AED A ARTEMIS A BEREC A CAV A CBE A CC A CDR A CEDEFOP A CEPOL A CES A CFCA A CH A CJ A CM A COM A CPVO A DUB A EACEA A EACI A EAHC A EASA A EBA A ECDC A ECHA A EDPS A EEA A EEAS A EFSA A EIGE A EIOPA A EIT A ELA A EMCDDA A EMEA A EMSA A ENIAC A ENISA A EPPO A ERA A ERCEA A ESA A ESMA A ESRB A ETF A EUAA A EU-OSHA A EUROHPC A EUSC A F4E A FRA A FRONTEX A GSA A HADEA A IHI A ISS A ITA A JUS A KDT A OHIM A OMB A PE A POL A RAI A REA A RSU A SESAR A SRB A TENEA A TRA A UF A]]></LongProp>
</LongProperties>
</file>

<file path=customXml/item6.xml><?xml version="1.0" encoding="utf-8"?>
<sisl xmlns:xsd="http://www.w3.org/2001/XMLSchema" xmlns:xsi="http://www.w3.org/2001/XMLSchema-instance" xmlns="http://www.boldonjames.com/2008/01/sie/internal/label" sislVersion="0" policy="3d8470af-4571-471c-b6de-0fb74e55511a" origin="userSelected"/>
</file>

<file path=customXml/item7.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AE4C67F-07F2-456C-AC52-7174165A60EF}">
  <ds:schemaRefs>
    <ds:schemaRef ds:uri="http://schemas.microsoft.com/sharepoint/v3/contenttype/forms"/>
  </ds:schemaRefs>
</ds:datastoreItem>
</file>

<file path=customXml/itemProps2.xml><?xml version="1.0" encoding="utf-8"?>
<ds:datastoreItem xmlns:ds="http://schemas.openxmlformats.org/officeDocument/2006/customXml" ds:itemID="{6E6ECF33-8CCD-401F-930C-CFC2FF738978}"/>
</file>

<file path=customXml/itemProps3.xml><?xml version="1.0" encoding="utf-8"?>
<ds:datastoreItem xmlns:ds="http://schemas.openxmlformats.org/officeDocument/2006/customXml" ds:itemID="{288ED109-F183-4F17-BE24-1420DF519554}">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A84ACDCF-4A3B-4A0C-87E3-4DD47DE99143}">
  <ds:schemaRefs>
    <ds:schemaRef ds:uri="http://schemas.microsoft.com/office/2006/metadata/properties"/>
    <ds:schemaRef ds:uri="http://schemas.microsoft.com/office/infopath/2007/PartnerControls"/>
    <ds:schemaRef ds:uri="http://schemas.microsoft.com/sharepoint/v3/fields"/>
    <ds:schemaRef ds:uri="a41a97bf-0494-41d8-ba3d-259bd7771890"/>
    <ds:schemaRef ds:uri="1929b814-5a78-4bdc-9841-d8b9ef424f65"/>
  </ds:schemaRefs>
</ds:datastoreItem>
</file>

<file path=customXml/itemProps5.xml><?xml version="1.0" encoding="utf-8"?>
<ds:datastoreItem xmlns:ds="http://schemas.openxmlformats.org/officeDocument/2006/customXml" ds:itemID="{0452D5CF-F0E6-40C0-BADC-2F6497AEF1BE}">
  <ds:schemaRefs>
    <ds:schemaRef ds:uri="http://schemas.microsoft.com/office/2006/metadata/longProperties"/>
    <ds:schemaRef ds:uri=""/>
  </ds:schemaRefs>
</ds:datastoreItem>
</file>

<file path=customXml/itemProps6.xml><?xml version="1.0" encoding="utf-8"?>
<ds:datastoreItem xmlns:ds="http://schemas.openxmlformats.org/officeDocument/2006/customXml" ds:itemID="{1DCF4D62-165A-4EBF-8BD6-EBD2B1DC23A9}">
  <ds:schemaRefs>
    <ds:schemaRef ds:uri="http://www.w3.org/2001/XMLSchema"/>
    <ds:schemaRef ds:uri="http://www.boldonjames.com/2008/01/sie/internal/label"/>
  </ds:schemaRefs>
</ds:datastoreItem>
</file>

<file path=customXml/itemProps7.xml><?xml version="1.0" encoding="utf-8"?>
<ds:datastoreItem xmlns:ds="http://schemas.openxmlformats.org/officeDocument/2006/customXml" ds:itemID="{A682E514-EBC1-44DF-B443-93927BE63DC3}"/>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6</vt:i4>
      </vt:variant>
      <vt:variant>
        <vt:lpstr>Named Ranges</vt:lpstr>
      </vt:variant>
      <vt:variant>
        <vt:i4>20</vt:i4>
      </vt:variant>
    </vt:vector>
  </HeadingPairs>
  <TitlesOfParts>
    <vt:vector size="26" baseType="lpstr">
      <vt:lpstr>Temporary Staff</vt:lpstr>
      <vt:lpstr>TA Tax</vt:lpstr>
      <vt:lpstr>Contract Staff</vt:lpstr>
      <vt:lpstr>CA Tax</vt:lpstr>
      <vt:lpstr>Staff Regulations Text</vt:lpstr>
      <vt:lpstr>Salary and Allowances</vt:lpstr>
      <vt:lpstr>CA_Grade_Order</vt:lpstr>
      <vt:lpstr>CA_SalaryGrade</vt:lpstr>
      <vt:lpstr>CA_SalaryGrade_Order</vt:lpstr>
      <vt:lpstr>CA_Steps</vt:lpstr>
      <vt:lpstr>CA_Steps_Order</vt:lpstr>
      <vt:lpstr>Country</vt:lpstr>
      <vt:lpstr>Country_Order</vt:lpstr>
      <vt:lpstr>DependChild</vt:lpstr>
      <vt:lpstr>DependChild_Order</vt:lpstr>
      <vt:lpstr>'Contract Staff'!Print_Area</vt:lpstr>
      <vt:lpstr>'Temporary Staff'!Print_Area</vt:lpstr>
      <vt:lpstr>'Contract Staff'!TA_Grade_Order</vt:lpstr>
      <vt:lpstr>'Temporary Staff'!TA_Grade_Order</vt:lpstr>
      <vt:lpstr>TA_Grade_Order</vt:lpstr>
      <vt:lpstr>TA_Salary_Grade</vt:lpstr>
      <vt:lpstr>TA_Salary_Order</vt:lpstr>
      <vt:lpstr>TA_Steps</vt:lpstr>
      <vt:lpstr>TA_Steps_Order</vt:lpstr>
      <vt:lpstr>YorN</vt:lpstr>
      <vt:lpstr>YorN_Order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2024-02-13T15:37:35Z</cp:lastPrinted>
  <dcterms:created xsi:type="dcterms:W3CDTF">2004-09-07T13:06:47Z</dcterms:created>
  <dcterms:modified xsi:type="dcterms:W3CDTF">2024-02-23T12:53:38Z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TemplateUrl">
    <vt:lpwstr/>
  </property>
  <property fmtid="{D5CDD505-2E9C-101B-9397-08002B2CF9AE}" pid="4" name="xd_ProgID">
    <vt:lpwstr/>
  </property>
  <property fmtid="{D5CDD505-2E9C-101B-9397-08002B2CF9AE}" pid="5" name="PublishingStartDate">
    <vt:lpwstr/>
  </property>
  <property fmtid="{D5CDD505-2E9C-101B-9397-08002B2CF9AE}" pid="6" name="PublishingExpirationDate">
    <vt:lpwstr/>
  </property>
  <property fmtid="{D5CDD505-2E9C-101B-9397-08002B2CF9AE}" pid="7" name="Order">
    <vt:lpwstr>600.000000000000</vt:lpwstr>
  </property>
  <property fmtid="{D5CDD505-2E9C-101B-9397-08002B2CF9AE}" pid="8" name="ContentTypeId">
    <vt:lpwstr>0x01010023E5FBCEFF5FCC45A5FCF3CAA0A2B927</vt:lpwstr>
  </property>
  <property fmtid="{D5CDD505-2E9C-101B-9397-08002B2CF9AE}" pid="9" name="display_urn:schemas-microsoft-com:office:office#SharedWithUsers">
    <vt:lpwstr>LABRIQUE Rachel;MARTENS Sandra</vt:lpwstr>
  </property>
  <property fmtid="{D5CDD505-2E9C-101B-9397-08002B2CF9AE}" pid="10" name="SharedWithUsers">
    <vt:lpwstr>15888;#LABRIQUE Rachel;#1860;#MARTENS Sandra</vt:lpwstr>
  </property>
  <property fmtid="{D5CDD505-2E9C-101B-9397-08002B2CF9AE}" pid="11" name="docIndexRef">
    <vt:lpwstr>55304ed2-5c32-4fad-bdd2-53ced4d8919b</vt:lpwstr>
  </property>
  <property fmtid="{D5CDD505-2E9C-101B-9397-08002B2CF9AE}" pid="12" name="bjSaver">
    <vt:lpwstr>FKDU6Zb4d/UsBG0xcrVjsLw5XMvHA6AR</vt:lpwstr>
  </property>
  <property fmtid="{D5CDD505-2E9C-101B-9397-08002B2CF9AE}" pid="13" name="bjLabelHistoryID">
    <vt:lpwstr>{288ED109-F183-4F17-BE24-1420DF519554}</vt:lpwstr>
  </property>
  <property fmtid="{D5CDD505-2E9C-101B-9397-08002B2CF9AE}" pid="14" name="_dlc_DocIdItemGuid">
    <vt:lpwstr>4f42c1a5-73a4-4178-9ec3-c2100c1d11ca</vt:lpwstr>
  </property>
</Properties>
</file>